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DIRECTION DES MOYENS\IMMOBILIER\Projets\Projet Phoenix\AMO\DCE Travail\"/>
    </mc:Choice>
  </mc:AlternateContent>
  <bookViews>
    <workbookView xWindow="0" yWindow="600" windowWidth="28800" windowHeight="16140" tabRatio="754" activeTab="4"/>
  </bookViews>
  <sheets>
    <sheet name="definition budget" sheetId="32" state="hidden" r:id="rId1"/>
    <sheet name="DATA" sheetId="48" state="hidden" r:id="rId2"/>
    <sheet name="ENFANTS" sheetId="42" state="hidden" r:id="rId3"/>
    <sheet name="MS + 20LITS" sheetId="43" state="hidden" r:id="rId4"/>
    <sheet name="PLANNING SC4" sheetId="51" r:id="rId5"/>
    <sheet name="SYNTHESE SURFACE CRFME" sheetId="53" state="hidden" r:id="rId6"/>
    <sheet name="SYNTHESE SURFACE MS" sheetId="54" state="hidden" r:id="rId7"/>
    <sheet name="SYNTHESE SURFACE HDJ" sheetId="55" state="hidden" r:id="rId8"/>
    <sheet name="SYNTHESE SURFACE EXT HC" sheetId="56" state="hidden" r:id="rId9"/>
    <sheet name="MS + 20LITS (2)" sheetId="47" state="hidden" r:id="rId10"/>
    <sheet name="RADIOTHERAPIE" sheetId="2" state="hidden" r:id="rId11"/>
    <sheet name="Estimatif -  Post-COPIL" sheetId="13" state="hidden" r:id="rId12"/>
    <sheet name="Estimatif -  Hypothése haute" sheetId="10" state="hidden" r:id="rId13"/>
    <sheet name="Estimatif - Hypothé intermédia" sheetId="11" state="hidden" r:id="rId14"/>
    <sheet name="Hypothèse conforme CCTP" sheetId="12" state="hidden" r:id="rId15"/>
  </sheets>
  <externalReferences>
    <externalReference r:id="rId16"/>
  </externalReferences>
  <definedNames>
    <definedName name="A" localSheetId="0">#REF!</definedName>
    <definedName name="A" localSheetId="2">#REF!</definedName>
    <definedName name="A" localSheetId="3">#REF!</definedName>
    <definedName name="A" localSheetId="9">#REF!</definedName>
    <definedName name="A" localSheetId="4">#REF!</definedName>
    <definedName name="A">#REF!</definedName>
    <definedName name="Cir_réhab">[1]Projet!$E$51</definedName>
    <definedName name="cons_bloc">[1]Projet!$E$57:$E$58</definedName>
    <definedName name="cons_circ">[1]Projet!$E$60:$E$61</definedName>
    <definedName name="cons_esp_med">[1]Projet!$E$59</definedName>
    <definedName name="cons_log">[1]Projet!$E$62:$E$64</definedName>
    <definedName name="des_log">[1]Projet!$E$66:$E$68</definedName>
    <definedName name="Esp_med_réhab">[1]Projet!$E$55</definedName>
    <definedName name="_xlnm.Print_Area" localSheetId="0">'definition budget'!$C$2:$J$37</definedName>
    <definedName name="_xlnm.Print_Area" localSheetId="2">ENFANTS!$C$2:$J$39</definedName>
    <definedName name="_xlnm.Print_Area" localSheetId="11">'Estimatif -  Post-COPIL'!$B$2:$I$70</definedName>
    <definedName name="_xlnm.Print_Area" localSheetId="3">'MS + 20LITS'!$C$2:$J$37</definedName>
    <definedName name="_xlnm.Print_Area" localSheetId="9">'MS + 20LITS (2)'!$C$2:$J$61</definedName>
    <definedName name="_xlnm.Print_Area" localSheetId="5">'SYNTHESE SURFACE CRFME'!$A$1:$F$44</definedName>
    <definedName name="_xlnm.Print_Area" localSheetId="8">'SYNTHESE SURFACE EXT HC'!$A$1:$F$11</definedName>
    <definedName name="_xlnm.Print_Area" localSheetId="7">'SYNTHESE SURFACE HDJ'!$A$1:$F$16</definedName>
    <definedName name="_xlnm.Print_Area" localSheetId="6">'SYNTHESE SURFACE MS'!$A$1:$F$27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53" l="1"/>
  <c r="G42" i="53"/>
  <c r="G34" i="53"/>
  <c r="M41" i="42" l="1"/>
  <c r="E16" i="43" l="1"/>
  <c r="G16" i="43" s="1"/>
  <c r="H16" i="43" s="1"/>
  <c r="E17" i="42"/>
  <c r="G17" i="42" s="1"/>
  <c r="E11" i="43"/>
  <c r="E9" i="43"/>
  <c r="E8" i="43" s="1"/>
  <c r="F62" i="47"/>
  <c r="H57" i="47"/>
  <c r="H38" i="47"/>
  <c r="G34" i="47"/>
  <c r="H34" i="47" s="1"/>
  <c r="F33" i="47"/>
  <c r="G32" i="47"/>
  <c r="H32" i="47" s="1"/>
  <c r="H31" i="47"/>
  <c r="G31" i="47"/>
  <c r="H30" i="47"/>
  <c r="G30" i="47"/>
  <c r="G29" i="47"/>
  <c r="H29" i="47" s="1"/>
  <c r="G28" i="47"/>
  <c r="H28" i="47" s="1"/>
  <c r="F27" i="47"/>
  <c r="H26" i="47"/>
  <c r="G26" i="47"/>
  <c r="G25" i="47"/>
  <c r="H25" i="47" s="1"/>
  <c r="E24" i="47"/>
  <c r="G24" i="47" s="1"/>
  <c r="H24" i="47" s="1"/>
  <c r="H23" i="47"/>
  <c r="G23" i="47"/>
  <c r="H22" i="47"/>
  <c r="G21" i="47"/>
  <c r="H21" i="47" s="1"/>
  <c r="E20" i="47"/>
  <c r="G20" i="47" s="1"/>
  <c r="H20" i="47" s="1"/>
  <c r="H19" i="47"/>
  <c r="G19" i="47"/>
  <c r="E18" i="47"/>
  <c r="G18" i="47" s="1"/>
  <c r="E17" i="47"/>
  <c r="E8" i="47" s="1"/>
  <c r="E37" i="47" s="1"/>
  <c r="G37" i="47" s="1"/>
  <c r="H16" i="47"/>
  <c r="H14" i="47" s="1"/>
  <c r="G16" i="47"/>
  <c r="H15" i="47"/>
  <c r="G15" i="47"/>
  <c r="G14" i="47"/>
  <c r="G13" i="47"/>
  <c r="H13" i="47" s="1"/>
  <c r="E12" i="47"/>
  <c r="G12" i="47" s="1"/>
  <c r="H12" i="47" s="1"/>
  <c r="G11" i="47"/>
  <c r="H11" i="47" s="1"/>
  <c r="G10" i="47"/>
  <c r="H10" i="47" s="1"/>
  <c r="H9" i="47"/>
  <c r="G36" i="47" l="1"/>
  <c r="H37" i="47"/>
  <c r="H36" i="47" s="1"/>
  <c r="H18" i="47"/>
  <c r="H17" i="47" s="1"/>
  <c r="G17" i="47"/>
  <c r="G8" i="47" s="1"/>
  <c r="H8" i="47" s="1"/>
  <c r="H41" i="47" s="1"/>
  <c r="G41" i="47" l="1"/>
  <c r="G58" i="47" l="1"/>
  <c r="H58" i="47" s="1"/>
  <c r="G53" i="47"/>
  <c r="G56" i="47"/>
  <c r="H56" i="47" s="1"/>
  <c r="G47" i="47"/>
  <c r="H47" i="47" s="1"/>
  <c r="G55" i="47"/>
  <c r="H55" i="47" s="1"/>
  <c r="G50" i="47"/>
  <c r="H50" i="47" s="1"/>
  <c r="G46" i="47"/>
  <c r="H46" i="47" s="1"/>
  <c r="G49" i="47"/>
  <c r="H49" i="47" s="1"/>
  <c r="G63" i="47"/>
  <c r="G48" i="47"/>
  <c r="H48" i="47" s="1"/>
  <c r="G54" i="47"/>
  <c r="H54" i="47" s="1"/>
  <c r="G44" i="47"/>
  <c r="H44" i="47" l="1"/>
  <c r="G45" i="47"/>
  <c r="G52" i="47"/>
  <c r="H53" i="47"/>
  <c r="H52" i="47" s="1"/>
  <c r="H63" i="47"/>
  <c r="H45" i="47" l="1"/>
  <c r="F45" i="47"/>
  <c r="F43" i="47" s="1"/>
  <c r="H43" i="47"/>
  <c r="H60" i="47" s="1"/>
  <c r="G43" i="47"/>
  <c r="G60" i="47" s="1"/>
  <c r="G64" i="47" s="1"/>
  <c r="H64" i="47" l="1"/>
  <c r="H62" i="47" s="1"/>
  <c r="G62" i="47"/>
  <c r="H66" i="47"/>
  <c r="H68" i="47" s="1"/>
  <c r="F38" i="43" l="1"/>
  <c r="G12" i="43"/>
  <c r="G10" i="43"/>
  <c r="E15" i="43"/>
  <c r="G15" i="43" s="1"/>
  <c r="F40" i="42"/>
  <c r="H35" i="42"/>
  <c r="H17" i="42"/>
  <c r="G13" i="42"/>
  <c r="H13" i="42" s="1"/>
  <c r="G11" i="42"/>
  <c r="H11" i="42" s="1"/>
  <c r="E10" i="42"/>
  <c r="G10" i="42" s="1"/>
  <c r="H12" i="43" l="1"/>
  <c r="H11" i="43" s="1"/>
  <c r="G11" i="43"/>
  <c r="F11" i="43" s="1"/>
  <c r="H10" i="43"/>
  <c r="G9" i="43"/>
  <c r="G14" i="43"/>
  <c r="H15" i="43"/>
  <c r="H14" i="43" s="1"/>
  <c r="H10" i="42"/>
  <c r="E12" i="42"/>
  <c r="G12" i="42" s="1"/>
  <c r="H12" i="42" s="1"/>
  <c r="G8" i="43" l="1"/>
  <c r="H8" i="43" s="1"/>
  <c r="H9" i="43"/>
  <c r="H18" i="43"/>
  <c r="E9" i="42"/>
  <c r="G18" i="43"/>
  <c r="G9" i="42"/>
  <c r="H9" i="42"/>
  <c r="G8" i="42" l="1"/>
  <c r="H8" i="42" s="1"/>
  <c r="E8" i="42"/>
  <c r="E16" i="42" s="1"/>
  <c r="G16" i="42" s="1"/>
  <c r="G34" i="43"/>
  <c r="H34" i="43" s="1"/>
  <c r="G32" i="43"/>
  <c r="H32" i="43" s="1"/>
  <c r="G27" i="43"/>
  <c r="H27" i="43" s="1"/>
  <c r="G23" i="43"/>
  <c r="H23" i="43" s="1"/>
  <c r="G30" i="43"/>
  <c r="G25" i="43"/>
  <c r="H25" i="43" s="1"/>
  <c r="G33" i="43"/>
  <c r="H33" i="43" s="1"/>
  <c r="G24" i="43"/>
  <c r="H24" i="43" s="1"/>
  <c r="G31" i="43"/>
  <c r="H31" i="43" s="1"/>
  <c r="G26" i="43"/>
  <c r="H26" i="43" s="1"/>
  <c r="G39" i="43"/>
  <c r="G21" i="43"/>
  <c r="G15" i="42" l="1"/>
  <c r="G19" i="42" s="1"/>
  <c r="H16" i="42"/>
  <c r="H15" i="42" s="1"/>
  <c r="H19" i="42" s="1"/>
  <c r="H21" i="43"/>
  <c r="G22" i="43"/>
  <c r="K35" i="43" s="1"/>
  <c r="H39" i="43"/>
  <c r="H30" i="43"/>
  <c r="H29" i="43" s="1"/>
  <c r="G29" i="43"/>
  <c r="G26" i="42" l="1"/>
  <c r="H26" i="42" s="1"/>
  <c r="G33" i="42"/>
  <c r="H33" i="42" s="1"/>
  <c r="G28" i="42"/>
  <c r="H28" i="42" s="1"/>
  <c r="G24" i="42"/>
  <c r="H24" i="42" s="1"/>
  <c r="G32" i="42"/>
  <c r="H32" i="42" s="1"/>
  <c r="G36" i="42"/>
  <c r="H36" i="42" s="1"/>
  <c r="G31" i="42"/>
  <c r="G27" i="42"/>
  <c r="H27" i="42" s="1"/>
  <c r="G22" i="42"/>
  <c r="G34" i="42"/>
  <c r="H34" i="42" s="1"/>
  <c r="G25" i="42"/>
  <c r="H25" i="42" s="1"/>
  <c r="G41" i="42"/>
  <c r="H41" i="42" s="1"/>
  <c r="F22" i="43"/>
  <c r="F20" i="43" s="1"/>
  <c r="H22" i="43"/>
  <c r="H20" i="43" s="1"/>
  <c r="H36" i="43" s="1"/>
  <c r="G20" i="43"/>
  <c r="K29" i="43" s="1"/>
  <c r="P20" i="43" l="1"/>
  <c r="P21" i="43"/>
  <c r="P22" i="43"/>
  <c r="P23" i="43"/>
  <c r="G36" i="43"/>
  <c r="G40" i="43" s="1"/>
  <c r="H40" i="43" s="1"/>
  <c r="H38" i="43" s="1"/>
  <c r="H42" i="43" s="1"/>
  <c r="H31" i="42"/>
  <c r="H30" i="42" s="1"/>
  <c r="G30" i="42"/>
  <c r="G23" i="42"/>
  <c r="K34" i="42" s="1"/>
  <c r="H22" i="42"/>
  <c r="G38" i="43"/>
  <c r="K42" i="43" s="1"/>
  <c r="Q22" i="43" l="1"/>
  <c r="Q23" i="43"/>
  <c r="Q21" i="43"/>
  <c r="H44" i="43"/>
  <c r="H23" i="42"/>
  <c r="H21" i="42" s="1"/>
  <c r="H38" i="42" s="1"/>
  <c r="G21" i="42"/>
  <c r="K28" i="42" s="1"/>
  <c r="F23" i="42"/>
  <c r="F21" i="42" s="1"/>
  <c r="P20" i="42" l="1"/>
  <c r="P22" i="42"/>
  <c r="P21" i="42"/>
  <c r="P19" i="42"/>
  <c r="G38" i="42"/>
  <c r="G42" i="42" s="1"/>
  <c r="G40" i="42"/>
  <c r="K41" i="42" s="1"/>
  <c r="H42" i="42"/>
  <c r="H40" i="42" s="1"/>
  <c r="H44" i="42" s="1"/>
  <c r="Q22" i="42" l="1"/>
  <c r="Q21" i="42"/>
  <c r="Q20" i="42"/>
  <c r="H46" i="42"/>
  <c r="E12" i="32" l="1"/>
  <c r="E11" i="32"/>
  <c r="E10" i="32"/>
  <c r="E8" i="32"/>
  <c r="G9" i="32"/>
  <c r="G10" i="32" s="1"/>
  <c r="G11" i="32" s="1"/>
  <c r="G12" i="32" s="1"/>
  <c r="F38" i="32"/>
  <c r="H33" i="32"/>
  <c r="E15" i="32" l="1"/>
  <c r="G15" i="32" s="1"/>
  <c r="H10" i="32"/>
  <c r="F11" i="32"/>
  <c r="F10" i="32"/>
  <c r="G14" i="32" l="1"/>
  <c r="L8" i="32"/>
  <c r="F12" i="32"/>
  <c r="H11" i="32"/>
  <c r="E17" i="13"/>
  <c r="G18" i="13"/>
  <c r="H68" i="13"/>
  <c r="H67" i="13"/>
  <c r="H66" i="13"/>
  <c r="O66" i="13"/>
  <c r="G8" i="32" l="1"/>
  <c r="H12" i="32"/>
  <c r="H9" i="32"/>
  <c r="H65" i="13"/>
  <c r="G30" i="13"/>
  <c r="E36" i="13"/>
  <c r="G36" i="13" s="1"/>
  <c r="H36" i="13" s="1"/>
  <c r="G28" i="13"/>
  <c r="H28" i="13" s="1"/>
  <c r="G26" i="13"/>
  <c r="G25" i="13" s="1"/>
  <c r="H25" i="13" s="1"/>
  <c r="E25" i="13"/>
  <c r="E18" i="13"/>
  <c r="G22" i="13"/>
  <c r="H22" i="13" s="1"/>
  <c r="G20" i="13"/>
  <c r="H20" i="13" s="1"/>
  <c r="G24" i="13"/>
  <c r="H24" i="13" s="1"/>
  <c r="O27" i="13"/>
  <c r="O18" i="13" s="1"/>
  <c r="E27" i="13"/>
  <c r="F56" i="13"/>
  <c r="F47" i="13"/>
  <c r="F44" i="13"/>
  <c r="F38" i="13" s="1"/>
  <c r="H31" i="13"/>
  <c r="H30" i="13" s="1"/>
  <c r="G23" i="13"/>
  <c r="H23" i="13" s="1"/>
  <c r="G21" i="13"/>
  <c r="H21" i="13" s="1"/>
  <c r="G19" i="13"/>
  <c r="N9" i="10"/>
  <c r="L15" i="12"/>
  <c r="L9" i="12"/>
  <c r="D9" i="10"/>
  <c r="D23" i="10"/>
  <c r="F15" i="10"/>
  <c r="G15" i="10" s="1"/>
  <c r="F14" i="10"/>
  <c r="G14" i="10" s="1"/>
  <c r="G21" i="12"/>
  <c r="G9" i="12"/>
  <c r="G21" i="11"/>
  <c r="H8" i="32" l="1"/>
  <c r="L15" i="32"/>
  <c r="H18" i="13"/>
  <c r="G27" i="13"/>
  <c r="H27" i="13" s="1"/>
  <c r="H26" i="13"/>
  <c r="H19" i="13"/>
  <c r="G35" i="13"/>
  <c r="H35" i="13" s="1"/>
  <c r="F26" i="12"/>
  <c r="D24" i="12"/>
  <c r="D24" i="11"/>
  <c r="F13" i="10"/>
  <c r="G13" i="10" s="1"/>
  <c r="F12" i="10"/>
  <c r="G12" i="10" s="1"/>
  <c r="F11" i="10"/>
  <c r="G11" i="10" s="1"/>
  <c r="F10" i="10"/>
  <c r="F9" i="10" s="1"/>
  <c r="E31" i="10"/>
  <c r="E32" i="11"/>
  <c r="D15" i="11"/>
  <c r="D9" i="11"/>
  <c r="D15" i="12"/>
  <c r="D9" i="12"/>
  <c r="F24" i="12"/>
  <c r="F24" i="11"/>
  <c r="F23" i="11" s="1"/>
  <c r="F16" i="11"/>
  <c r="G16" i="11" s="1"/>
  <c r="F11" i="11"/>
  <c r="G11" i="11" s="1"/>
  <c r="F10" i="11"/>
  <c r="G10" i="11" s="1"/>
  <c r="F12" i="11"/>
  <c r="G12" i="11" s="1"/>
  <c r="F14" i="11"/>
  <c r="G14" i="11" s="1"/>
  <c r="F13" i="11"/>
  <c r="G13" i="11" s="1"/>
  <c r="F15" i="12"/>
  <c r="G15" i="12" s="1"/>
  <c r="F16" i="12"/>
  <c r="G16" i="12" s="1"/>
  <c r="F14" i="12"/>
  <c r="G14" i="12" s="1"/>
  <c r="E44" i="12"/>
  <c r="E35" i="12"/>
  <c r="E32" i="12"/>
  <c r="E26" i="12" s="1"/>
  <c r="G19" i="12"/>
  <c r="F13" i="12"/>
  <c r="G13" i="12" s="1"/>
  <c r="F12" i="12"/>
  <c r="G12" i="12" s="1"/>
  <c r="F11" i="12"/>
  <c r="G11" i="12" s="1"/>
  <c r="F10" i="12"/>
  <c r="F9" i="12" s="1"/>
  <c r="F21" i="12" s="1"/>
  <c r="E44" i="11"/>
  <c r="E35" i="11"/>
  <c r="G19" i="11"/>
  <c r="G18" i="10"/>
  <c r="X48" i="2"/>
  <c r="J48" i="2"/>
  <c r="J46" i="2"/>
  <c r="X46" i="2"/>
  <c r="H48" i="2"/>
  <c r="V48" i="2"/>
  <c r="H46" i="2"/>
  <c r="H40" i="2"/>
  <c r="H29" i="2"/>
  <c r="H14" i="2"/>
  <c r="V14" i="2"/>
  <c r="V29" i="2"/>
  <c r="V40" i="2"/>
  <c r="V46" i="2"/>
  <c r="V10" i="2"/>
  <c r="V9" i="2"/>
  <c r="V45" i="2"/>
  <c r="V44" i="2"/>
  <c r="V43" i="2"/>
  <c r="V39" i="2"/>
  <c r="V38" i="2"/>
  <c r="V37" i="2"/>
  <c r="V36" i="2"/>
  <c r="V35" i="2"/>
  <c r="V34" i="2"/>
  <c r="V33" i="2"/>
  <c r="V28" i="2"/>
  <c r="V27" i="2"/>
  <c r="V26" i="2"/>
  <c r="V25" i="2"/>
  <c r="V24" i="2"/>
  <c r="V23" i="2"/>
  <c r="V22" i="2"/>
  <c r="V21" i="2"/>
  <c r="V20" i="2"/>
  <c r="V19" i="2"/>
  <c r="V18" i="2"/>
  <c r="V13" i="2"/>
  <c r="V12" i="2"/>
  <c r="V11" i="2"/>
  <c r="V8" i="2"/>
  <c r="V7" i="2"/>
  <c r="V6" i="2"/>
  <c r="G17" i="32" l="1"/>
  <c r="G39" i="32" s="1"/>
  <c r="H15" i="32"/>
  <c r="H14" i="32" s="1"/>
  <c r="H17" i="32" s="1"/>
  <c r="G33" i="13"/>
  <c r="H17" i="13"/>
  <c r="G17" i="13"/>
  <c r="G10" i="10"/>
  <c r="F9" i="11"/>
  <c r="G9" i="11" s="1"/>
  <c r="E26" i="11"/>
  <c r="F15" i="11"/>
  <c r="G15" i="11" s="1"/>
  <c r="G24" i="12"/>
  <c r="F23" i="12"/>
  <c r="G23" i="12" s="1"/>
  <c r="G24" i="11"/>
  <c r="G23" i="11"/>
  <c r="G10" i="12"/>
  <c r="X40" i="2"/>
  <c r="X29" i="2"/>
  <c r="Y50" i="2" s="1"/>
  <c r="X14" i="2"/>
  <c r="E43" i="10"/>
  <c r="E34" i="10"/>
  <c r="G32" i="32" l="1"/>
  <c r="H32" i="32" s="1"/>
  <c r="G34" i="32"/>
  <c r="G29" i="32"/>
  <c r="G30" i="32"/>
  <c r="G31" i="32"/>
  <c r="G9" i="10"/>
  <c r="G20" i="10" s="1"/>
  <c r="F20" i="10"/>
  <c r="F21" i="11"/>
  <c r="F27" i="11" s="1"/>
  <c r="G27" i="11" s="1"/>
  <c r="F29" i="12"/>
  <c r="G29" i="12" s="1"/>
  <c r="F31" i="12"/>
  <c r="G31" i="12" s="1"/>
  <c r="F40" i="12"/>
  <c r="G40" i="12" s="1"/>
  <c r="F33" i="12"/>
  <c r="G33" i="12" s="1"/>
  <c r="F39" i="12"/>
  <c r="G39" i="12" s="1"/>
  <c r="F30" i="12"/>
  <c r="G30" i="12" s="1"/>
  <c r="F27" i="12"/>
  <c r="F28" i="12"/>
  <c r="G28" i="12" s="1"/>
  <c r="F36" i="12"/>
  <c r="F38" i="12"/>
  <c r="G38" i="12" s="1"/>
  <c r="F37" i="12"/>
  <c r="G37" i="12" s="1"/>
  <c r="F32" i="12"/>
  <c r="G32" i="12" s="1"/>
  <c r="E25" i="10"/>
  <c r="F8" i="32" l="1"/>
  <c r="F32" i="11"/>
  <c r="G32" i="11" s="1"/>
  <c r="F37" i="11"/>
  <c r="G37" i="11" s="1"/>
  <c r="F29" i="11"/>
  <c r="G29" i="11" s="1"/>
  <c r="F33" i="11"/>
  <c r="G33" i="11" s="1"/>
  <c r="F39" i="11"/>
  <c r="G39" i="11" s="1"/>
  <c r="F30" i="11"/>
  <c r="G30" i="11" s="1"/>
  <c r="F36" i="11"/>
  <c r="G36" i="11" s="1"/>
  <c r="F38" i="11"/>
  <c r="G38" i="11" s="1"/>
  <c r="F40" i="11"/>
  <c r="G40" i="11" s="1"/>
  <c r="F31" i="11"/>
  <c r="G31" i="11" s="1"/>
  <c r="F28" i="11"/>
  <c r="G28" i="11" s="1"/>
  <c r="F35" i="12"/>
  <c r="G35" i="12" s="1"/>
  <c r="G36" i="12"/>
  <c r="G27" i="12"/>
  <c r="G26" i="12" s="1"/>
  <c r="H44" i="2"/>
  <c r="H43" i="2"/>
  <c r="H45" i="2"/>
  <c r="H34" i="2"/>
  <c r="H28" i="2"/>
  <c r="H23" i="2"/>
  <c r="H26" i="2"/>
  <c r="H25" i="2"/>
  <c r="H24" i="2"/>
  <c r="H21" i="2"/>
  <c r="H20" i="2"/>
  <c r="H13" i="2"/>
  <c r="H12" i="2"/>
  <c r="H11" i="2"/>
  <c r="H10" i="2"/>
  <c r="H9" i="2"/>
  <c r="H8" i="2"/>
  <c r="H7" i="2"/>
  <c r="H6" i="2"/>
  <c r="H27" i="2"/>
  <c r="H22" i="2"/>
  <c r="H19" i="2"/>
  <c r="H18" i="2"/>
  <c r="H39" i="2"/>
  <c r="H38" i="2"/>
  <c r="H37" i="2"/>
  <c r="H36" i="2"/>
  <c r="H35" i="2"/>
  <c r="H33" i="2"/>
  <c r="G25" i="32" l="1"/>
  <c r="H25" i="32" s="1"/>
  <c r="G22" i="32"/>
  <c r="H22" i="32" s="1"/>
  <c r="G23" i="32"/>
  <c r="H23" i="32" s="1"/>
  <c r="H34" i="32"/>
  <c r="H31" i="32"/>
  <c r="G20" i="32"/>
  <c r="G26" i="32"/>
  <c r="H26" i="32" s="1"/>
  <c r="H30" i="32"/>
  <c r="G24" i="32"/>
  <c r="H24" i="32" s="1"/>
  <c r="F26" i="11"/>
  <c r="G26" i="11"/>
  <c r="F35" i="11"/>
  <c r="G35" i="11" s="1"/>
  <c r="F42" i="12"/>
  <c r="F46" i="12" s="1"/>
  <c r="G46" i="12" s="1"/>
  <c r="G42" i="12"/>
  <c r="J14" i="2"/>
  <c r="J29" i="2"/>
  <c r="J40" i="2"/>
  <c r="H20" i="32" l="1"/>
  <c r="G21" i="32"/>
  <c r="G19" i="32" s="1"/>
  <c r="G28" i="32"/>
  <c r="H29" i="32"/>
  <c r="H28" i="32" s="1"/>
  <c r="F42" i="11"/>
  <c r="F45" i="11" s="1"/>
  <c r="G45" i="11" s="1"/>
  <c r="G42" i="11"/>
  <c r="F45" i="12"/>
  <c r="G45" i="12" s="1"/>
  <c r="G44" i="12" s="1"/>
  <c r="G48" i="12" s="1"/>
  <c r="G36" i="32" l="1"/>
  <c r="F21" i="32"/>
  <c r="F19" i="32" s="1"/>
  <c r="H21" i="32"/>
  <c r="H19" i="32" s="1"/>
  <c r="F46" i="11"/>
  <c r="F44" i="12"/>
  <c r="F48" i="12" s="1"/>
  <c r="K50" i="2"/>
  <c r="G40" i="32" l="1"/>
  <c r="H40" i="32" s="1"/>
  <c r="H36" i="32"/>
  <c r="H39" i="32"/>
  <c r="G46" i="11"/>
  <c r="G44" i="11" s="1"/>
  <c r="G48" i="11" s="1"/>
  <c r="F44" i="11"/>
  <c r="F48" i="11" s="1"/>
  <c r="F23" i="10"/>
  <c r="H38" i="32" l="1"/>
  <c r="H42" i="32" s="1"/>
  <c r="G38" i="32"/>
  <c r="F22" i="10"/>
  <c r="G22" i="10" s="1"/>
  <c r="G23" i="10"/>
  <c r="H44" i="32" l="1"/>
  <c r="F36" i="10"/>
  <c r="G36" i="10" s="1"/>
  <c r="F26" i="10"/>
  <c r="F27" i="10"/>
  <c r="G27" i="10" s="1"/>
  <c r="F30" i="10"/>
  <c r="G30" i="10" s="1"/>
  <c r="F37" i="10"/>
  <c r="G37" i="10" s="1"/>
  <c r="F35" i="10"/>
  <c r="F39" i="10"/>
  <c r="G39" i="10" s="1"/>
  <c r="F29" i="10"/>
  <c r="G29" i="10" s="1"/>
  <c r="F38" i="10"/>
  <c r="G38" i="10" s="1"/>
  <c r="F31" i="10"/>
  <c r="G31" i="10" s="1"/>
  <c r="F28" i="10"/>
  <c r="G28" i="10" s="1"/>
  <c r="F32" i="10"/>
  <c r="G32" i="10" s="1"/>
  <c r="F25" i="10" l="1"/>
  <c r="F34" i="10"/>
  <c r="G34" i="10" s="1"/>
  <c r="G35" i="10"/>
  <c r="G26" i="10"/>
  <c r="G25" i="10" s="1"/>
  <c r="G41" i="10" l="1"/>
  <c r="F41" i="10"/>
  <c r="F44" i="10" s="1"/>
  <c r="F45" i="10" l="1"/>
  <c r="G45" i="10" s="1"/>
  <c r="G44" i="10"/>
  <c r="F43" i="10" l="1"/>
  <c r="F47" i="10" s="1"/>
  <c r="G43" i="10"/>
  <c r="G47" i="10" s="1"/>
  <c r="G49" i="13" l="1"/>
  <c r="H49" i="13" s="1"/>
  <c r="G41" i="13"/>
  <c r="H41" i="13" s="1"/>
  <c r="G43" i="13"/>
  <c r="H43" i="13" s="1"/>
  <c r="G48" i="13"/>
  <c r="G45" i="13"/>
  <c r="H45" i="13" s="1"/>
  <c r="H48" i="13" l="1"/>
  <c r="G51" i="13"/>
  <c r="H51" i="13" s="1"/>
  <c r="G40" i="13"/>
  <c r="H40" i="13" s="1"/>
  <c r="H33" i="13"/>
  <c r="G44" i="13"/>
  <c r="H44" i="13" s="1"/>
  <c r="G39" i="13"/>
  <c r="G52" i="13"/>
  <c r="H52" i="13" s="1"/>
  <c r="G42" i="13"/>
  <c r="H42" i="13" s="1"/>
  <c r="G50" i="13"/>
  <c r="H50" i="13" s="1"/>
  <c r="G38" i="13" l="1"/>
  <c r="H39" i="13"/>
  <c r="H38" i="13" s="1"/>
  <c r="G47" i="13"/>
  <c r="H47" i="13" s="1"/>
  <c r="G54" i="13" l="1"/>
  <c r="H54" i="13"/>
  <c r="G57" i="13" l="1"/>
  <c r="G58" i="13"/>
  <c r="H58" i="13" s="1"/>
  <c r="H57" i="13" l="1"/>
  <c r="H56" i="13" s="1"/>
  <c r="H60" i="13" s="1"/>
  <c r="G56" i="13"/>
  <c r="G60" i="13" s="1"/>
</calcChain>
</file>

<file path=xl/sharedStrings.xml><?xml version="1.0" encoding="utf-8"?>
<sst xmlns="http://schemas.openxmlformats.org/spreadsheetml/2006/main" count="972" uniqueCount="404">
  <si>
    <t>Libellé d'espace</t>
  </si>
  <si>
    <t>Nombre d'espaces</t>
  </si>
  <si>
    <t>Surface utile unitaire</t>
  </si>
  <si>
    <t>Surface utile globale</t>
  </si>
  <si>
    <t>Salle d'attente enfants</t>
  </si>
  <si>
    <t>Salle d'attente adultes</t>
  </si>
  <si>
    <t>Salle d'attente patient couché</t>
  </si>
  <si>
    <t>Banque d'accueil</t>
  </si>
  <si>
    <t>Secrétariat back office</t>
  </si>
  <si>
    <t>Archives</t>
  </si>
  <si>
    <t>Bloc sanitaires public valide</t>
  </si>
  <si>
    <t>Locaux techniques</t>
  </si>
  <si>
    <t xml:space="preserve">SOUS-TOTAL ACCUEIL   </t>
  </si>
  <si>
    <t>Bloc sanitaire PMR</t>
  </si>
  <si>
    <t>Salle de traitement avec accelérateur</t>
  </si>
  <si>
    <t>Pupitre de commande</t>
  </si>
  <si>
    <t>Déshabilloirs</t>
  </si>
  <si>
    <t>Stockage</t>
  </si>
  <si>
    <t>Sanitaires PMR</t>
  </si>
  <si>
    <t xml:space="preserve">Sas </t>
  </si>
  <si>
    <t>Bureaux de consultations</t>
  </si>
  <si>
    <t xml:space="preserve">SOUS-TOTAL SU - "BUNKER"   </t>
  </si>
  <si>
    <t>* Sufaces annoncées CCTP : 760m² SU</t>
  </si>
  <si>
    <t>Sanitaires personnel</t>
  </si>
  <si>
    <t>Remarques</t>
  </si>
  <si>
    <t>Poste de commande</t>
  </si>
  <si>
    <t xml:space="preserve">TOTAL SERVICE RADIOTHERAPIE (SU)   </t>
  </si>
  <si>
    <t>2 lits</t>
  </si>
  <si>
    <t>ESPACE ACCUEIL ET ATTENTE</t>
  </si>
  <si>
    <t>BUREAUX DE CONSULTATIONS</t>
  </si>
  <si>
    <t>BUNKER</t>
  </si>
  <si>
    <t>Scan centrage</t>
  </si>
  <si>
    <t>Tables d'examens</t>
  </si>
  <si>
    <t>Bureau d'annonce</t>
  </si>
  <si>
    <t>Salle dosimétrie</t>
  </si>
  <si>
    <t>Local VDI/serveurs machine</t>
  </si>
  <si>
    <t>Vestiaires</t>
  </si>
  <si>
    <t>Salle repos personnel</t>
  </si>
  <si>
    <t>ZONE TECHNIQUE/LOGISTIQUE</t>
  </si>
  <si>
    <t xml:space="preserve">SOUS-TOTAL SU - "ZONE TECHNIQUE LOGISTIQUE"   </t>
  </si>
  <si>
    <t>Désignation des prestations</t>
  </si>
  <si>
    <t>Nb de m²  (SDO)</t>
  </si>
  <si>
    <t>Prix/ratio au m²</t>
  </si>
  <si>
    <t>Montant prévisionnel
Euro HT</t>
  </si>
  <si>
    <t>Montant prévisionnel
Euro TTC</t>
  </si>
  <si>
    <t>1. Travaux</t>
  </si>
  <si>
    <t>Montant  des travaux</t>
  </si>
  <si>
    <r>
      <t xml:space="preserve">1.3 – </t>
    </r>
    <r>
      <rPr>
        <b/>
        <u/>
        <sz val="11"/>
        <rFont val="Arial Narrow"/>
        <family val="2"/>
      </rPr>
      <t>Travaux VRD et Aménagement extérieur</t>
    </r>
  </si>
  <si>
    <t>1.3.1 - Uniquement sur les travaux construction neuve - Ratio SDO</t>
  </si>
  <si>
    <r>
      <t xml:space="preserve">2 – </t>
    </r>
    <r>
      <rPr>
        <b/>
        <u/>
        <sz val="12"/>
        <rFont val="Arial Narrow"/>
        <family val="2"/>
      </rPr>
      <t>Prestations intellectuelles</t>
    </r>
  </si>
  <si>
    <t xml:space="preserve">2.1 - Maîtrise d'Œuvre </t>
  </si>
  <si>
    <t>2.2 - Indemmités  sur Esquisse (2 équipes)</t>
  </si>
  <si>
    <t>2.3 - OPC</t>
  </si>
  <si>
    <t>2.4 - CSSI</t>
  </si>
  <si>
    <t>2.5 - Synthèse</t>
  </si>
  <si>
    <t>2.6 - Coordonnateur SPS</t>
  </si>
  <si>
    <t>2.7 - Contrôle technique</t>
  </si>
  <si>
    <r>
      <t xml:space="preserve">3 – </t>
    </r>
    <r>
      <rPr>
        <b/>
        <u/>
        <sz val="11"/>
        <rFont val="Arial Narrow"/>
        <family val="2"/>
      </rPr>
      <t>Autres frais</t>
    </r>
  </si>
  <si>
    <t>3.1 - Relevé Géomètre</t>
  </si>
  <si>
    <t>3.2 - Frais de sondage (sol)</t>
  </si>
  <si>
    <t>3.3 - AMO (programmation jusque apd)</t>
  </si>
  <si>
    <r>
      <t>3.5 - Assurance DO+TRC *</t>
    </r>
    <r>
      <rPr>
        <i/>
        <sz val="11"/>
        <rFont val="Arial Narrow"/>
        <family val="2"/>
      </rPr>
      <t>exonéré de TVA</t>
    </r>
  </si>
  <si>
    <t>3.6 - Autres (diagnostics, etude environnementale)</t>
  </si>
  <si>
    <t>Montant  de l'opération Toutes Dépenses Confondues hors Aléas Valeur Avril 2022</t>
  </si>
  <si>
    <r>
      <t xml:space="preserve">4 – </t>
    </r>
    <r>
      <rPr>
        <b/>
        <u/>
        <sz val="12"/>
        <rFont val="Arial Narrow"/>
        <family val="2"/>
      </rPr>
      <t>Aléas</t>
    </r>
  </si>
  <si>
    <t>4.1 - Aléas techniques travaux</t>
  </si>
  <si>
    <t>4.2 - Aléas économiques</t>
  </si>
  <si>
    <t>Montant  de l'opération Toutes Dépenses Confondues</t>
  </si>
  <si>
    <t>ESTIMATIF // CHINA ONCO</t>
  </si>
  <si>
    <t>1 personne</t>
  </si>
  <si>
    <t>2 personnes</t>
  </si>
  <si>
    <t>RADIOTHERAPIE - 1 Bunker</t>
  </si>
  <si>
    <t>RADIOTHERAPIE - 2 Bunker</t>
  </si>
  <si>
    <t>2. Groupe Electrogène</t>
  </si>
  <si>
    <t>3.3 - AMO</t>
  </si>
  <si>
    <t>1.1 Travaux Neufs</t>
  </si>
  <si>
    <t>1.1.1 Médecine Nucléaire - 1 gamma-cams 1 PET Scan</t>
  </si>
  <si>
    <t xml:space="preserve">1.1.2 Radiothérapie - 1  bunker </t>
  </si>
  <si>
    <t>1.1.3 HDJ Onco - 18 fauteuils et 3 lits hors UCPC</t>
  </si>
  <si>
    <t>1.1.4 Soins de supports</t>
  </si>
  <si>
    <t>1.1.5 LT</t>
  </si>
  <si>
    <t>1.2 Travaux Réhabilitation</t>
  </si>
  <si>
    <t xml:space="preserve">1.2.1 Hospitalisation Complète - Réhab étage bâtiment 37 - base 21 lits </t>
  </si>
  <si>
    <t>2.1 Déplacement du Groupe Electrogène</t>
  </si>
  <si>
    <t>1.1.3 HDJ Onco - 18 fauteuils et 3 lits inclus UCPC</t>
  </si>
  <si>
    <t xml:space="preserve">1.1.2 Radiothérapie - 2  bunkers </t>
  </si>
  <si>
    <t>1.1.1 Médecine Nucléaire - 2 gamma-cams 1 PET Scan</t>
  </si>
  <si>
    <t>1.1.6 LT</t>
  </si>
  <si>
    <t xml:space="preserve">1.1.5 Hospitalisation Complète - Base 25 lits </t>
  </si>
  <si>
    <t>Hypothèse 1</t>
  </si>
  <si>
    <t>Montant  des travaux (HT)</t>
  </si>
  <si>
    <t>Montant  de l'opération Toutes Dépenses Confondues (TTC)</t>
  </si>
  <si>
    <t>Hypothèse 2</t>
  </si>
  <si>
    <t>Hypothèse 3</t>
  </si>
  <si>
    <t>Note Introductive</t>
  </si>
  <si>
    <t xml:space="preserve">avec USPC avec Gros-Œuvre, Attente Technique et sans Parachèvement </t>
  </si>
  <si>
    <t>ESTIMATIF PRELIMINAIRE // CHINA ONCO // POST-COPIL 230125</t>
  </si>
  <si>
    <t xml:space="preserve">Points d'attentions sur les hypothèses et éléments non compris à ce stade : </t>
  </si>
  <si>
    <r>
      <rPr>
        <u/>
        <sz val="11"/>
        <color theme="1"/>
        <rFont val="Calibri (Corps)"/>
      </rPr>
      <t xml:space="preserve">Hypothèses intégrées : </t>
    </r>
    <r>
      <rPr>
        <sz val="11"/>
        <color theme="1"/>
        <rFont val="Calibri"/>
        <family val="2"/>
        <scheme val="minor"/>
      </rPr>
      <t xml:space="preserve">
    - Médecine Nucléaire --&gt; Création de 3 salles pour les machines dont 1 salle  avec Gros-Œuvre, Attente Technique et sans Parachèvement
    - Hôpital de Jour Oncologie --&gt; Validation du capacitaire de 18 places + 3 lits avec une augmentation de l'activité à travers 2 éléments (Taux de rotation sur les places et développement de la galénique orale)
    - Soins de supports : Proposition d'une réduction des surfaces de la zone avec notamment le maintien dans ses locaux de l'EMSP
    - Radiothérapie : Travaux inclus dans une tranche optionnelle et création d'1 Bunker
    - Unité Hospitalisation Complète d'Oncologie : Passage de 25 lits à 15 lits - Maintien des Lits Identifiés Soins Palliatifs et pas de création d'une Unité de Soins Palliatifs - Réhabilitation d'un espace présent au sein du bâtiment existant du CHINA pour le service
</t>
    </r>
    <r>
      <rPr>
        <u/>
        <sz val="11"/>
        <color theme="1"/>
        <rFont val="Calibri (Corps)"/>
      </rPr>
      <t xml:space="preserve">Pistes d'optimisation encore à étudier : </t>
    </r>
    <r>
      <rPr>
        <sz val="11"/>
        <color theme="1"/>
        <rFont val="Calibri"/>
        <family val="2"/>
        <scheme val="minor"/>
      </rPr>
      <t xml:space="preserve">
    - Validation des surfaces par les équipes 
    - Positionnement de l'Unité d'Hospitalisation Complète d'Oncologie 
    - Etude d'implantation sur l'emprise envisagée
    - Phasage de l'opération </t>
    </r>
  </si>
  <si>
    <t>Optimisations</t>
  </si>
  <si>
    <r>
      <t xml:space="preserve">Cet estimatif est issu des arbitrages effectués dans le cadre du Comité de Pilotage concernant l'Oncopole du CHINA en date du </t>
    </r>
    <r>
      <rPr>
        <b/>
        <u/>
        <sz val="11"/>
        <color theme="1"/>
        <rFont val="Calibri (Corps)"/>
      </rPr>
      <t>25 Janvier 2023.</t>
    </r>
    <r>
      <rPr>
        <sz val="11"/>
        <color theme="1"/>
        <rFont val="Calibri (Corps)"/>
      </rPr>
      <t xml:space="preserve"> (cf présentation et compte-rendu de la réunion)</t>
    </r>
    <r>
      <rPr>
        <b/>
        <u/>
        <sz val="11"/>
        <color theme="1"/>
        <rFont val="Calibri (Corps)"/>
      </rPr>
      <t xml:space="preserve">
</t>
    </r>
    <r>
      <rPr>
        <sz val="11"/>
        <color theme="1"/>
        <rFont val="Calibri (Corps)"/>
      </rPr>
      <t>Il est à destination unique du Maître d'Ouvrage pour lui apporter une aide à la décision concernant les premiers impacts financiers du projet envisagé</t>
    </r>
    <r>
      <rPr>
        <sz val="11"/>
        <color theme="1"/>
        <rFont val="Calibri"/>
        <family val="2"/>
        <scheme val="minor"/>
      </rPr>
      <t xml:space="preserve">. 
</t>
    </r>
    <r>
      <rPr>
        <b/>
        <u/>
        <sz val="11"/>
        <color rgb="FFFF0000"/>
        <rFont val="Calibri (Corps)"/>
      </rPr>
      <t xml:space="preserve">Ce document ne constitue pas l'estimation financière définitive du projet, qui devra être consolidée notamment avec la confirmation des surfaces par les services, la faisabilité d'implantation dans l'emprise envisagée et le phasage du projet. 
</t>
    </r>
    <r>
      <rPr>
        <sz val="11"/>
        <color theme="1"/>
        <rFont val="Calibri (Corps)"/>
      </rPr>
      <t xml:space="preserve">L'AMO ne peut s'engager à ce stade des études sur cet estimatif. </t>
    </r>
  </si>
  <si>
    <t>Médecine Nucléaire - 2 gamma-cams 1 PET Scan</t>
  </si>
  <si>
    <t>HDJ Onco - 18 fauteuils et 3 lits</t>
  </si>
  <si>
    <t>Soins de supports (5)</t>
  </si>
  <si>
    <t>LT</t>
  </si>
  <si>
    <t xml:space="preserve">Radiothérapie - 1  bunker </t>
  </si>
  <si>
    <t xml:space="preserve">Travaux Réhabilitation (6) </t>
  </si>
  <si>
    <t xml:space="preserve">Hospitalisation Complète - Base 15 lits </t>
  </si>
  <si>
    <t>Déplacement du Groupe Electrogène</t>
  </si>
  <si>
    <t>Travaux VRD et Aménagement extérieur</t>
  </si>
  <si>
    <t>Uniquement sur les travaux construction neuve - Ratio SDO</t>
  </si>
  <si>
    <r>
      <rPr>
        <b/>
        <u/>
        <sz val="12"/>
        <rFont val="Arial Narrow"/>
        <family val="2"/>
      </rPr>
      <t>Prestations intellectuelles</t>
    </r>
    <r>
      <rPr>
        <b/>
        <sz val="12"/>
        <rFont val="Arial Narrow"/>
        <family val="2"/>
      </rPr>
      <t xml:space="preserve"> (7)</t>
    </r>
  </si>
  <si>
    <t xml:space="preserve">Maîtrise d'Œuvre </t>
  </si>
  <si>
    <t>Indemnités  sur Esquisse (2 équipes)</t>
  </si>
  <si>
    <t>OPC</t>
  </si>
  <si>
    <t>Synthèse</t>
  </si>
  <si>
    <t>Coordonnateur SPS</t>
  </si>
  <si>
    <t>Contrôle technique</t>
  </si>
  <si>
    <r>
      <rPr>
        <b/>
        <u/>
        <sz val="11"/>
        <rFont val="Arial Narrow"/>
        <family val="2"/>
      </rPr>
      <t>Autres frais</t>
    </r>
    <r>
      <rPr>
        <b/>
        <sz val="11"/>
        <rFont val="Arial Narrow"/>
        <family val="2"/>
      </rPr>
      <t xml:space="preserve"> (7)</t>
    </r>
  </si>
  <si>
    <t>Relevé Géomètre</t>
  </si>
  <si>
    <t>Frais de sondage (sol)</t>
  </si>
  <si>
    <t>AMO</t>
  </si>
  <si>
    <r>
      <t>Assurance DO+TRC *</t>
    </r>
    <r>
      <rPr>
        <i/>
        <sz val="11"/>
        <rFont val="Arial Narrow"/>
        <family val="2"/>
      </rPr>
      <t>exonéré de TVA</t>
    </r>
  </si>
  <si>
    <t>Autres (diagnostics, étude environnementale)</t>
  </si>
  <si>
    <t>Montant prévisionnel € HT</t>
  </si>
  <si>
    <t>Montant prévisionnel € TTC</t>
  </si>
  <si>
    <t>1.</t>
  </si>
  <si>
    <r>
      <t xml:space="preserve">Travaux de Construction </t>
    </r>
    <r>
      <rPr>
        <b/>
        <u/>
        <sz val="11"/>
        <color theme="1"/>
        <rFont val="Arial Narrow"/>
        <family val="2"/>
      </rPr>
      <t>(1)</t>
    </r>
  </si>
  <si>
    <t xml:space="preserve">Bâtiment Neuf - Tranche Ferme (2)(3)(4) </t>
  </si>
  <si>
    <t>Bâtiment Neuf - Tranche Optionnelle</t>
  </si>
  <si>
    <t>1.1</t>
  </si>
  <si>
    <t>1.2</t>
  </si>
  <si>
    <t>1.1.1</t>
  </si>
  <si>
    <t>1.1.2</t>
  </si>
  <si>
    <t>1.1.3</t>
  </si>
  <si>
    <t>1.1.4</t>
  </si>
  <si>
    <t>1.2.1</t>
  </si>
  <si>
    <t>1.3</t>
  </si>
  <si>
    <t>1.3.1</t>
  </si>
  <si>
    <t>2.</t>
  </si>
  <si>
    <t>Travaux Annexes</t>
  </si>
  <si>
    <t>2.1</t>
  </si>
  <si>
    <t>avec Salle Gamma/TEP avec Gros-Œuvre, Attente Technique et sans Parachèvement</t>
  </si>
  <si>
    <t>Montant  des travaux = 1 + 2</t>
  </si>
  <si>
    <t>3.</t>
  </si>
  <si>
    <t>4.</t>
  </si>
  <si>
    <t>4.1</t>
  </si>
  <si>
    <t>4.2</t>
  </si>
  <si>
    <t>4.3</t>
  </si>
  <si>
    <t>4.4</t>
  </si>
  <si>
    <t>4.5</t>
  </si>
  <si>
    <t>4.6</t>
  </si>
  <si>
    <t>4.7</t>
  </si>
  <si>
    <t>5.</t>
  </si>
  <si>
    <t>5.1</t>
  </si>
  <si>
    <t>5.2</t>
  </si>
  <si>
    <t>5.3</t>
  </si>
  <si>
    <t>5.4</t>
  </si>
  <si>
    <t>5.5</t>
  </si>
  <si>
    <t>6.</t>
  </si>
  <si>
    <t>6.1</t>
  </si>
  <si>
    <t>6.2</t>
  </si>
  <si>
    <t>Aléas</t>
  </si>
  <si>
    <t>Aléas techniques travaux</t>
  </si>
  <si>
    <t>Aléas économiques</t>
  </si>
  <si>
    <t xml:space="preserve">     Montant  de l'opération Toutes Dépenses Confondues hors Aléas Valeur Décembre 2022 = 1 + 2 + 3 + 4 + 5    </t>
  </si>
  <si>
    <t>Estimatif dépenses travaux</t>
  </si>
  <si>
    <t>Couts de l'énergie</t>
  </si>
  <si>
    <t>Conso./an</t>
  </si>
  <si>
    <t>Coût annuel TTC</t>
  </si>
  <si>
    <t>Prix Unitaire</t>
  </si>
  <si>
    <t>MWh/an</t>
  </si>
  <si>
    <t>Consommation d'électricité estimée sur base outil AELIPSE</t>
  </si>
  <si>
    <t>Consommation thermique estimée sur base outil AELIPSE</t>
  </si>
  <si>
    <t>Consommation d'eau estimée sur base outil AELIPSE</t>
  </si>
  <si>
    <t>m3/an</t>
  </si>
  <si>
    <t>Coûts d'entretien des surfaces - Estimation faite sur base de l'outil AELIPSE</t>
  </si>
  <si>
    <r>
      <t xml:space="preserve">(1) - Sous-réserve de l'étude de faisabilité d'implantation du projet et les impacts en résultant (Impact sur le plan de déplacement du site </t>
    </r>
    <r>
      <rPr>
        <i/>
        <sz val="11"/>
        <color theme="1"/>
        <rFont val="Calibri"/>
        <family val="2"/>
        <scheme val="minor"/>
      </rPr>
      <t xml:space="preserve">(Livraisons, Parking, Transports Patients) </t>
    </r>
    <r>
      <rPr>
        <sz val="11"/>
        <color theme="1"/>
        <rFont val="Calibri"/>
        <family val="2"/>
        <scheme val="minor"/>
      </rPr>
      <t>Coûts annexes de déplacement Fluides Médicaux, …)
(2) - Sous-réserve de la validation des tableaux détaillés des surfaces par les services
(3) - Dimensionement des techniques du bâtiment (Plomberie-CVC, CFO/CFA,…) pour l'ensemble de l'organisation cible
(4) - Sous-réserve phasage générale du projet en construction (Validation de la tranche optionnelle ou non)
(5) - Sous réserve de la validation effective de l'optimisation de surface proposée
(6) - Sous-réserve du lieu d'implantation du service d'Hospitalisation Complète, Nature des travaux à réaliser, Complexité et Phasage de l'opération en site occupé et en activité
(7) - Sous-réserve de l'établissement d'un marché unique pour les opérations de travaux neufs TF et TC et les travaux de réhabilitation
(8) - Les coûts de fonctionnement sont issus du logiciel AELIPSE sur la base des estimations de surfaces. Des paramètres sont à adapter pour permettre une validation définitive de ses coûts.</t>
    </r>
  </si>
  <si>
    <t>Estimatif des coûts de fonctionnement (8)</t>
  </si>
  <si>
    <t>A :</t>
  </si>
  <si>
    <t>Travaux extérieurs</t>
  </si>
  <si>
    <t>3.1</t>
  </si>
  <si>
    <t>3.2</t>
  </si>
  <si>
    <t>3.3</t>
  </si>
  <si>
    <t xml:space="preserve">Montant  des travaux = 1 +2 </t>
  </si>
  <si>
    <t>Prestations intellectuelles</t>
  </si>
  <si>
    <t>Indemnités sur APS (2 équipes) - 0,5% du montant des travaux</t>
  </si>
  <si>
    <t>3.4</t>
  </si>
  <si>
    <t>CSSI</t>
  </si>
  <si>
    <t>3.5</t>
  </si>
  <si>
    <t>3.6</t>
  </si>
  <si>
    <t>3.7</t>
  </si>
  <si>
    <t>Autres frais</t>
  </si>
  <si>
    <t>provision pour Désamientage</t>
  </si>
  <si>
    <t>Autres (diagnostics, étude environnementale,bornage, ,,,)</t>
  </si>
  <si>
    <t>Aléas / Révision de prix</t>
  </si>
  <si>
    <t>DELTA</t>
  </si>
  <si>
    <t>1.4</t>
  </si>
  <si>
    <t>Estimatif dépenses travaux - Phoenix</t>
  </si>
  <si>
    <t>ESTIMATIF</t>
  </si>
  <si>
    <t xml:space="preserve">RAPPEL BUDGET </t>
  </si>
  <si>
    <t>Travaux de construction/reabilitation</t>
  </si>
  <si>
    <t>budget ESQ</t>
  </si>
  <si>
    <t xml:space="preserve">Révision de prix </t>
  </si>
  <si>
    <t>BUDGET CONCOURS MOE :</t>
  </si>
  <si>
    <t>travaux+VRD et amenagement exterieurs</t>
  </si>
  <si>
    <t xml:space="preserve">     Montant  de l'opération Toutes Dépenses Confondues hors Aléas date valeur Aout 2024 = 1 + 2 + 3 +4  </t>
  </si>
  <si>
    <t>Assurance DO+TRC (1% DO hors HT 1%TRC soumis à TVA)</t>
  </si>
  <si>
    <t>Aménagement extérieur + VRD + terrassement</t>
  </si>
  <si>
    <t>BUDGET PROJET MOE :</t>
  </si>
  <si>
    <t>1.5</t>
  </si>
  <si>
    <t>1.6</t>
  </si>
  <si>
    <t>Balnéothérapie</t>
  </si>
  <si>
    <t>Aménagement VRD Entrée</t>
  </si>
  <si>
    <t xml:space="preserve">Montant  des travaux = 1+2 </t>
  </si>
  <si>
    <t>Médico social adulte</t>
  </si>
  <si>
    <t>Mise au point études et Aléas techniques travaux</t>
  </si>
  <si>
    <t>budget OFFRE ENTREPRISES(+1%)</t>
  </si>
  <si>
    <t>budget APD(+1,5%)</t>
  </si>
  <si>
    <t>budget APS (+ 5%)</t>
  </si>
  <si>
    <t>Estimatif dépenses travaux - Phoenix - Total</t>
  </si>
  <si>
    <r>
      <t xml:space="preserve">Montant  de l'opération Toutes Dépenses Confondues </t>
    </r>
    <r>
      <rPr>
        <sz val="16"/>
        <rFont val="Arial Narrow"/>
        <family val="2"/>
      </rPr>
      <t>date de valeur 07/24</t>
    </r>
  </si>
  <si>
    <t>*hors désamiantage/dépolution</t>
  </si>
  <si>
    <t>Travaux de construction/reabilitation*</t>
  </si>
  <si>
    <t>Aménagement stationnement complementaire</t>
  </si>
  <si>
    <t>HDJ</t>
  </si>
  <si>
    <t>CRFME</t>
  </si>
  <si>
    <t>1.3.2</t>
  </si>
  <si>
    <t>1.3.3</t>
  </si>
  <si>
    <t>1.3.4</t>
  </si>
  <si>
    <t>1.3.6</t>
  </si>
  <si>
    <t>1.3.7</t>
  </si>
  <si>
    <t>1.3.8</t>
  </si>
  <si>
    <t>Provision pour deplacement du reseau de chaleur urbain (200 ml)</t>
  </si>
  <si>
    <t>Rehabilitation existant</t>
  </si>
  <si>
    <t>1.5.2</t>
  </si>
  <si>
    <t>1.5.3</t>
  </si>
  <si>
    <t>1.5.4</t>
  </si>
  <si>
    <t>1.5.5</t>
  </si>
  <si>
    <t>Réhabilitation Espaces restauration</t>
  </si>
  <si>
    <t>Réhabilitation Espaces acceuil</t>
  </si>
  <si>
    <t>Réhabilitation vestiaire</t>
  </si>
  <si>
    <t>Réhabilitation logistique</t>
  </si>
  <si>
    <t>1.6.1</t>
  </si>
  <si>
    <t>sc2 :</t>
  </si>
  <si>
    <t>implantation 3</t>
  </si>
  <si>
    <t>1.2.2</t>
  </si>
  <si>
    <t>Balnéothérapie sous UCC</t>
  </si>
  <si>
    <t>Projection pour 20 lits adultes supplementaires</t>
  </si>
  <si>
    <t>20 lits adultes (en neuf prolongation restaurant ou UCC)</t>
  </si>
  <si>
    <t>implantation n 2 prolongation restaurant</t>
  </si>
  <si>
    <t>implantation n3 prolongation site enfant</t>
  </si>
  <si>
    <t>implantation n1 reabilitation PUI</t>
  </si>
  <si>
    <t>implantation n1 extension / PUI</t>
  </si>
  <si>
    <t>implantation 2 rehabilitation PUI</t>
  </si>
  <si>
    <t>implantation 2 extension PUI</t>
  </si>
  <si>
    <t>implantation 1 ancienne balnéo ( attention delta de 308 m² en moins )</t>
  </si>
  <si>
    <t>Balnéothérapie neuf</t>
  </si>
  <si>
    <t>batiment neuf</t>
  </si>
  <si>
    <t>batiment sous UCC</t>
  </si>
  <si>
    <t>circulation generale</t>
  </si>
  <si>
    <t>Réhabilitation Espaces balnéo existant</t>
  </si>
  <si>
    <t>B</t>
  </si>
  <si>
    <t>Estimatif dépenses travaux - Projet CRFME</t>
  </si>
  <si>
    <t>Prolongation du restaurant</t>
  </si>
  <si>
    <t>20 lits adultes</t>
  </si>
  <si>
    <t xml:space="preserve">C : </t>
  </si>
  <si>
    <t>INCLUS REHAB. BALNEO</t>
  </si>
  <si>
    <t>HORS REHAB. BALNEO</t>
  </si>
  <si>
    <t>INCLUS PARKING VIS/PER</t>
  </si>
  <si>
    <t>Parking Visiteurs / Personnels</t>
  </si>
  <si>
    <t>HORS PARKING VIS/PER</t>
  </si>
  <si>
    <t>INCLUS AMENAGEMENT ENTREE</t>
  </si>
  <si>
    <t>HORS AMENAGEMENT ENTREE</t>
  </si>
  <si>
    <t>Augmentation Activité Sanitaire - Médico-Sociale</t>
  </si>
  <si>
    <t>APS</t>
  </si>
  <si>
    <t>ESQ</t>
  </si>
  <si>
    <t>PRO</t>
  </si>
  <si>
    <t>ACT</t>
  </si>
  <si>
    <t>DET/visa</t>
  </si>
  <si>
    <t>APD/pc</t>
  </si>
  <si>
    <t>pi+af</t>
  </si>
  <si>
    <t>travaux</t>
  </si>
  <si>
    <t>A : BALNEO</t>
  </si>
  <si>
    <t>DURÉE</t>
  </si>
  <si>
    <t>M1</t>
  </si>
  <si>
    <t>M2</t>
  </si>
  <si>
    <t>M3</t>
  </si>
  <si>
    <t>M4</t>
  </si>
  <si>
    <t>M5</t>
  </si>
  <si>
    <t>M6</t>
  </si>
  <si>
    <t>M7</t>
  </si>
  <si>
    <t>M8</t>
  </si>
  <si>
    <t>M9</t>
  </si>
  <si>
    <t>M10</t>
  </si>
  <si>
    <t>M11</t>
  </si>
  <si>
    <t>M12</t>
  </si>
  <si>
    <t>M13</t>
  </si>
  <si>
    <t>M14</t>
  </si>
  <si>
    <t>M15</t>
  </si>
  <si>
    <t>M16</t>
  </si>
  <si>
    <t>M17</t>
  </si>
  <si>
    <t>M18</t>
  </si>
  <si>
    <t>M19</t>
  </si>
  <si>
    <t>M20</t>
  </si>
  <si>
    <t>M21</t>
  </si>
  <si>
    <t>M22</t>
  </si>
  <si>
    <t>M23</t>
  </si>
  <si>
    <t>M24</t>
  </si>
  <si>
    <t>M25</t>
  </si>
  <si>
    <t>M26</t>
  </si>
  <si>
    <t>M27</t>
  </si>
  <si>
    <t>M28</t>
  </si>
  <si>
    <t>M29</t>
  </si>
  <si>
    <t>M30</t>
  </si>
  <si>
    <t>M31</t>
  </si>
  <si>
    <t>M32</t>
  </si>
  <si>
    <t>M33</t>
  </si>
  <si>
    <t>M34</t>
  </si>
  <si>
    <t>M35</t>
  </si>
  <si>
    <t>M36</t>
  </si>
  <si>
    <t>M37</t>
  </si>
  <si>
    <t>M38</t>
  </si>
  <si>
    <t>M39</t>
  </si>
  <si>
    <t>M40</t>
  </si>
  <si>
    <t>M41</t>
  </si>
  <si>
    <t>M42</t>
  </si>
  <si>
    <t>M43</t>
  </si>
  <si>
    <t>M44</t>
  </si>
  <si>
    <t>M45</t>
  </si>
  <si>
    <t>M46</t>
  </si>
  <si>
    <t>M47</t>
  </si>
  <si>
    <t>M48</t>
  </si>
  <si>
    <t>M49</t>
  </si>
  <si>
    <t>M50</t>
  </si>
  <si>
    <t xml:space="preserve">PHASE 0 - PASSATION DES MARCHÉS MOE </t>
  </si>
  <si>
    <t>PHASE 1 - ETUDES</t>
  </si>
  <si>
    <t>PHASE 2 - PERMIS DE CONSTRUIRE</t>
  </si>
  <si>
    <t>PHASE 3 - DESIGNATION DES ENTREPRISES</t>
  </si>
  <si>
    <t>PHASE 4 - TRAVAUX</t>
  </si>
  <si>
    <r>
      <rPr>
        <b/>
        <sz val="12"/>
        <color theme="1"/>
        <rFont val="Arial"/>
        <family val="2"/>
      </rPr>
      <t xml:space="preserve">TOTAL </t>
    </r>
    <r>
      <rPr>
        <sz val="12"/>
        <color theme="1"/>
        <rFont val="Arial"/>
        <family val="2"/>
      </rPr>
      <t xml:space="preserve">- </t>
    </r>
    <r>
      <rPr>
        <sz val="9"/>
        <color theme="1"/>
        <rFont val="Arial"/>
        <family val="2"/>
      </rPr>
      <t>HORS DÉLAI VALIDATION  et HORS ADMINISTRATION ET SMR</t>
    </r>
  </si>
  <si>
    <t>B : CRFME</t>
  </si>
  <si>
    <t>C : 20 LITS + MS</t>
  </si>
  <si>
    <t>Avec circulation générale</t>
  </si>
  <si>
    <t>TOTAL - UGECAM</t>
  </si>
  <si>
    <t>SURFACE DANS ŒUVRE TOTALE (m² SDO)</t>
  </si>
  <si>
    <t>RATIO SU/SDO</t>
  </si>
  <si>
    <t>SURFACE UTILE TOTALE (m² SU)</t>
  </si>
  <si>
    <t>DESIGNATION DE LA ZONE</t>
  </si>
  <si>
    <t>Avec circulation générale + LT</t>
  </si>
  <si>
    <t>PM</t>
  </si>
  <si>
    <t>Z1 - REEDUCATION</t>
  </si>
  <si>
    <t>Z1-1 - ZONE APPAREILLAGE</t>
  </si>
  <si>
    <t>Z1-2 - ZONE DE SOINS / REEDUCATION</t>
  </si>
  <si>
    <t xml:space="preserve">Z2 - HERBEGEMENT-SOINS </t>
  </si>
  <si>
    <t>Z2-1 - ZONES 24 BIS / DEFICIENT MOTEUR</t>
  </si>
  <si>
    <t>Z2-2 - ZONE 24 TER / POLY HANDICAPES</t>
  </si>
  <si>
    <t>Z2-3 - ZONE INFIRMERIE</t>
  </si>
  <si>
    <t>Z2-4 - ZONE PERSONNEL</t>
  </si>
  <si>
    <t>Z3 - SESSAD</t>
  </si>
  <si>
    <t>Z3-1 - ZONE PRISE EN CHARGE</t>
  </si>
  <si>
    <t>Z3-2 - ZONE BUREAUX</t>
  </si>
  <si>
    <t>Z3-3 - ZONE SUPPORT</t>
  </si>
  <si>
    <t>Z4 - EDUCATIF</t>
  </si>
  <si>
    <t>Z4-1 - ZONE 24 BIS / DEFICIENT MOTEUR</t>
  </si>
  <si>
    <t>Z4-2 - ZONE 24 TER / POLY HANDICAPES</t>
  </si>
  <si>
    <t>Z4-3 - ZONE BUREAUX</t>
  </si>
  <si>
    <t>Z5 - VIE COMMUNE</t>
  </si>
  <si>
    <t>Z5-1 - ZONE DE VIE</t>
  </si>
  <si>
    <t>Z5-2 - ZONE RESTAURATION</t>
  </si>
  <si>
    <t>Z6 - SUPPORTS</t>
  </si>
  <si>
    <t>Z6-1 - ZONE ACCUEIL</t>
  </si>
  <si>
    <t>Z6-2 -ZONE MEDICALE</t>
  </si>
  <si>
    <t>Z6-3 - ZONE LOGISTIQUE</t>
  </si>
  <si>
    <t>Z6-4 -ZONE PERSONNEL</t>
  </si>
  <si>
    <t>Z7 - BALNEOTHERAPIE</t>
  </si>
  <si>
    <t>Z7-1 - ZONE BALNEOTHERAPIE</t>
  </si>
  <si>
    <t>Z8 - LOCAUX TECHNIQUES</t>
  </si>
  <si>
    <t xml:space="preserve">Z8-1 - HORS BALNEOTHERAPIE </t>
  </si>
  <si>
    <t>Z8-2 -BALNEOTHERAPIE</t>
  </si>
  <si>
    <t>Z1 - SAMSAH-SAVS</t>
  </si>
  <si>
    <t>Z1-1 - ZONE BUREAUX</t>
  </si>
  <si>
    <t>Z1-2 - ZONE ACCOMPAGNEMENT</t>
  </si>
  <si>
    <t>Z1-3 - ZONE EXTERIEURE</t>
  </si>
  <si>
    <t>Z2 - ESPO-UEROS</t>
  </si>
  <si>
    <t>Z2-1 - ZONE PRISE EN CHARGE</t>
  </si>
  <si>
    <t>Z2-2 - ZONE BUREAUX</t>
  </si>
  <si>
    <t>Z3 - DEA</t>
  </si>
  <si>
    <t>Z4 - COMMUN-SUPPORT</t>
  </si>
  <si>
    <t>Z4-1 - ZONE REINSERTION PROFESSIONNELLE/SERVICE SOCIAL</t>
  </si>
  <si>
    <t>Z4-2 - ZONE ADMINISTRATION</t>
  </si>
  <si>
    <t>Z4-3 - ZONE ACCUEIL</t>
  </si>
  <si>
    <t>Z4-4 - ZONE SUPPORT</t>
  </si>
  <si>
    <t>Z1 - HDJ</t>
  </si>
  <si>
    <t>Z1-1 - ACCUEIL</t>
  </si>
  <si>
    <t>Z1-2- INFIRMERIE</t>
  </si>
  <si>
    <t>Z1-3-PATIENT</t>
  </si>
  <si>
    <t>Z1-4 - CONSULTATION</t>
  </si>
  <si>
    <t>Z1-5 - EXPLORATIONS FONCTIONNELLES</t>
  </si>
  <si>
    <t>Z1-6 - NUTRITION</t>
  </si>
  <si>
    <t>Z1-7 - PERSONNEL</t>
  </si>
  <si>
    <t>Z1 - EXTENSION HC ADULTE</t>
  </si>
  <si>
    <t>Z1-1 - NUTRITION</t>
  </si>
  <si>
    <t>Z1-2- POLYVALENT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</si>
</sst>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4" formatCode="_-* #,##0.00\ &quot;€&quot;_-;\-* #,##0.00\ &quot;€&quot;_-;_-* &quot;-&quot;??\ &quot;€&quot;_-;_-@_-"/>
    <numFmt numFmtId="43" formatCode="_-* #,##0.00_-;\-* #,##0.00_-;_-* &quot;-&quot;??_-;_-@_-"/>
    <numFmt numFmtId="164" formatCode="#,##0\ &quot;€&quot;_);[Red]\(#,##0\ &quot;€&quot;\)"/>
    <numFmt numFmtId="165" formatCode="_ * #,##0.00_)\ &quot;€&quot;_ ;_ * \(#,##0.00\)\ &quot;€&quot;_ ;_ * &quot;-&quot;??_)\ &quot;€&quot;_ ;_ @_ "/>
    <numFmt numFmtId="166" formatCode="_-* #,##0\ [$€-40C]_-;\-* #,##0\ [$€-40C]_-;_-* &quot;-&quot;??\ [$€-40C]_-;_-@_-"/>
    <numFmt numFmtId="167" formatCode="_ * #,##0_)\ _€_ ;_ * \(#,##0\)\ _€_ ;_ * &quot;-&quot;??_)\ _€_ ;_ @_ "/>
    <numFmt numFmtId="168" formatCode="#,##0\ &quot;€&quot;"/>
    <numFmt numFmtId="169" formatCode="#,##0.00\ &quot;€&quot;"/>
    <numFmt numFmtId="170" formatCode="0.000"/>
    <numFmt numFmtId="171" formatCode="0.00&quot; m²&quot;"/>
    <numFmt numFmtId="172" formatCode="0&quot; m²&quot;"/>
    <numFmt numFmtId="173" formatCode="0&quot; €/m²&quot;"/>
    <numFmt numFmtId="174" formatCode="#,##0&quot; €/m²&quot;"/>
    <numFmt numFmtId="175" formatCode="0.00000%"/>
    <numFmt numFmtId="176" formatCode="#,##0\ &quot;€&quot;_);[Red]\-\ #,##0\ &quot;€&quot;"/>
    <numFmt numFmtId="177" formatCode="_ * #,##0_)\ &quot;€&quot;_ ;_ * \(#,##0\)\ &quot;€&quot;_ ;_ * &quot;-&quot;??_)\ &quot;€&quot;_ ;_ @_ "/>
    <numFmt numFmtId="178" formatCode="\+\ #,##0\ &quot;€&quot;_);[Red]\-\ #,##0\ &quot;€&quot;"/>
    <numFmt numFmtId="179" formatCode="_-* #,##0.00\ [$€-40C]_-;\-* #,##0.00\ [$€-40C]_-;_-* &quot;-&quot;??\ [$€-40C]_-;_-@_-"/>
    <numFmt numFmtId="180" formatCode="00"/>
    <numFmt numFmtId="181" formatCode="#,##0&quot; MOIS&quot;"/>
    <numFmt numFmtId="182" formatCode="0.0"/>
  </numFmts>
  <fonts count="94">
    <font>
      <sz val="11"/>
      <color theme="1"/>
      <name val="Calibri"/>
      <family val="2"/>
      <scheme val="minor"/>
    </font>
    <font>
      <sz val="12"/>
      <color theme="1"/>
      <name val="Calibri"/>
      <family val="2"/>
      <scheme val="minor"/>
    </font>
    <font>
      <sz val="12"/>
      <color theme="1"/>
      <name val="Calibri"/>
      <family val="2"/>
      <scheme val="minor"/>
    </font>
    <font>
      <sz val="11"/>
      <color theme="1"/>
      <name val="Arial"/>
      <family val="2"/>
    </font>
    <font>
      <b/>
      <sz val="11"/>
      <color theme="1"/>
      <name val="Arial"/>
      <family val="2"/>
    </font>
    <font>
      <i/>
      <sz val="11"/>
      <color theme="1"/>
      <name val="Arial"/>
      <family val="2"/>
    </font>
    <font>
      <b/>
      <sz val="11"/>
      <color theme="0"/>
      <name val="Arial"/>
      <family val="2"/>
    </font>
    <font>
      <b/>
      <sz val="14"/>
      <color theme="0"/>
      <name val="Arial"/>
      <family val="2"/>
    </font>
    <font>
      <b/>
      <i/>
      <sz val="11"/>
      <color theme="1"/>
      <name val="Arial"/>
      <family val="2"/>
    </font>
    <font>
      <b/>
      <i/>
      <sz val="11"/>
      <color theme="0"/>
      <name val="Arial"/>
      <family val="2"/>
    </font>
    <font>
      <b/>
      <i/>
      <sz val="12"/>
      <color theme="0"/>
      <name val="Arial"/>
      <family val="2"/>
    </font>
    <font>
      <i/>
      <sz val="8"/>
      <color theme="1"/>
      <name val="Arial"/>
      <family val="2"/>
    </font>
    <font>
      <sz val="11"/>
      <color theme="1"/>
      <name val="Calibri"/>
      <family val="2"/>
      <scheme val="minor"/>
    </font>
    <font>
      <b/>
      <sz val="20"/>
      <color theme="1"/>
      <name val="Arial Narrow"/>
      <family val="2"/>
    </font>
    <font>
      <sz val="12"/>
      <color theme="1"/>
      <name val="Calibri"/>
      <family val="2"/>
      <scheme val="minor"/>
    </font>
    <font>
      <b/>
      <sz val="12"/>
      <color theme="1"/>
      <name val="Arial"/>
      <family val="2"/>
    </font>
    <font>
      <b/>
      <sz val="18"/>
      <color theme="1"/>
      <name val="Arial"/>
      <family val="2"/>
    </font>
    <font>
      <sz val="18"/>
      <color theme="1"/>
      <name val="Calibri"/>
      <family val="2"/>
      <scheme val="minor"/>
    </font>
    <font>
      <sz val="10"/>
      <name val="Arial"/>
      <family val="2"/>
    </font>
    <font>
      <sz val="12"/>
      <name val="Arial Narrow"/>
      <family val="2"/>
    </font>
    <font>
      <b/>
      <sz val="12"/>
      <name val="Arial Narrow"/>
      <family val="2"/>
    </font>
    <font>
      <i/>
      <sz val="12"/>
      <name val="Arial Narrow"/>
      <family val="2"/>
    </font>
    <font>
      <b/>
      <u/>
      <sz val="12"/>
      <color theme="1"/>
      <name val="Arial Narrow"/>
      <family val="2"/>
    </font>
    <font>
      <b/>
      <sz val="11"/>
      <name val="Arial Narrow"/>
      <family val="2"/>
    </font>
    <font>
      <b/>
      <u/>
      <sz val="11"/>
      <name val="Arial Narrow"/>
      <family val="2"/>
    </font>
    <font>
      <b/>
      <i/>
      <sz val="12"/>
      <name val="Arial Narrow"/>
      <family val="2"/>
    </font>
    <font>
      <sz val="11"/>
      <name val="Arial Narrow"/>
      <family val="2"/>
    </font>
    <font>
      <b/>
      <u/>
      <sz val="12"/>
      <name val="Arial Narrow"/>
      <family val="2"/>
    </font>
    <font>
      <i/>
      <sz val="11"/>
      <name val="Arial Narrow"/>
      <family val="2"/>
    </font>
    <font>
      <b/>
      <sz val="14"/>
      <name val="Arial Narrow"/>
      <family val="2"/>
    </font>
    <font>
      <b/>
      <i/>
      <sz val="14"/>
      <color theme="0"/>
      <name val="Arial Narrow"/>
      <family val="2"/>
    </font>
    <font>
      <b/>
      <sz val="11"/>
      <color rgb="FF102D5D"/>
      <name val="Arial"/>
      <family val="2"/>
    </font>
    <font>
      <b/>
      <sz val="12"/>
      <color rgb="FFE7E6E6"/>
      <name val="Arial Narrow"/>
      <family val="2"/>
    </font>
    <font>
      <b/>
      <i/>
      <sz val="12"/>
      <color theme="0"/>
      <name val="Arial Narrow"/>
      <family val="2"/>
    </font>
    <font>
      <b/>
      <sz val="11"/>
      <name val="Arial"/>
      <family val="2"/>
    </font>
    <font>
      <sz val="11"/>
      <name val="Arial"/>
      <family val="2"/>
    </font>
    <font>
      <b/>
      <u/>
      <sz val="11"/>
      <color theme="1"/>
      <name val="Arial"/>
      <family val="2"/>
    </font>
    <font>
      <b/>
      <u/>
      <sz val="11"/>
      <color theme="1"/>
      <name val="Calibri (Corps)"/>
    </font>
    <font>
      <sz val="11"/>
      <color theme="1"/>
      <name val="Calibri (Corps)"/>
    </font>
    <font>
      <b/>
      <u/>
      <sz val="11"/>
      <color rgb="FFFF0000"/>
      <name val="Calibri (Corps)"/>
    </font>
    <font>
      <b/>
      <u/>
      <sz val="11"/>
      <color theme="1"/>
      <name val="Arial Narrow"/>
      <family val="2"/>
    </font>
    <font>
      <b/>
      <sz val="12"/>
      <color theme="0"/>
      <name val="Arial Narrow"/>
      <family val="2"/>
    </font>
    <font>
      <b/>
      <u/>
      <sz val="11"/>
      <color theme="1"/>
      <name val="Calibri"/>
      <family val="2"/>
      <scheme val="minor"/>
    </font>
    <font>
      <i/>
      <sz val="11"/>
      <color theme="1"/>
      <name val="Calibri"/>
      <family val="2"/>
      <scheme val="minor"/>
    </font>
    <font>
      <u/>
      <sz val="11"/>
      <color theme="1"/>
      <name val="Calibri (Corps)"/>
    </font>
    <font>
      <b/>
      <sz val="9"/>
      <color theme="0"/>
      <name val="Arial"/>
      <family val="2"/>
    </font>
    <font>
      <b/>
      <sz val="10"/>
      <name val="Arial Narrow"/>
      <family val="2"/>
    </font>
    <font>
      <sz val="8"/>
      <name val="Calibri"/>
      <family val="2"/>
      <scheme val="minor"/>
    </font>
    <font>
      <b/>
      <sz val="10"/>
      <color theme="0"/>
      <name val="Arial Narrow"/>
      <family val="2"/>
    </font>
    <font>
      <sz val="12"/>
      <color theme="1"/>
      <name val="Arial Narrow"/>
      <family val="2"/>
    </font>
    <font>
      <b/>
      <sz val="12"/>
      <color theme="1"/>
      <name val="Arial Narrow"/>
      <family val="2"/>
    </font>
    <font>
      <i/>
      <sz val="12"/>
      <color theme="1"/>
      <name val="Arial Narrow"/>
      <family val="2"/>
    </font>
    <font>
      <b/>
      <sz val="10"/>
      <color theme="1" tint="0.499984740745262"/>
      <name val="Arial Narrow"/>
      <family val="2"/>
    </font>
    <font>
      <sz val="10"/>
      <color theme="1"/>
      <name val="Calibri"/>
      <family val="2"/>
      <scheme val="minor"/>
    </font>
    <font>
      <b/>
      <i/>
      <sz val="10"/>
      <color theme="1" tint="0.499984740745262"/>
      <name val="Arial Narrow"/>
      <family val="2"/>
    </font>
    <font>
      <b/>
      <sz val="11"/>
      <color theme="1"/>
      <name val="Arial Narrow"/>
      <family val="2"/>
    </font>
    <font>
      <sz val="11"/>
      <color theme="3"/>
      <name val="Calibri"/>
      <family val="2"/>
      <scheme val="minor"/>
    </font>
    <font>
      <b/>
      <sz val="19"/>
      <color theme="1"/>
      <name val="Arial Narrow"/>
      <family val="2"/>
    </font>
    <font>
      <b/>
      <sz val="20"/>
      <color theme="3"/>
      <name val="Arial Narrow"/>
      <family val="2"/>
    </font>
    <font>
      <b/>
      <sz val="12"/>
      <color theme="3"/>
      <name val="Arial Narrow"/>
      <family val="2"/>
    </font>
    <font>
      <b/>
      <sz val="14"/>
      <color theme="1"/>
      <name val="Arial Narrow"/>
      <family val="2"/>
    </font>
    <font>
      <b/>
      <i/>
      <sz val="14"/>
      <name val="Arial Narrow"/>
      <family val="2"/>
    </font>
    <font>
      <sz val="11"/>
      <color theme="1"/>
      <name val="Arial Narrow"/>
      <family val="2"/>
    </font>
    <font>
      <i/>
      <sz val="11"/>
      <color theme="1"/>
      <name val="Arial Narrow"/>
      <family val="2"/>
    </font>
    <font>
      <sz val="10"/>
      <name val="Arial Narrow"/>
      <family val="2"/>
    </font>
    <font>
      <sz val="10"/>
      <color theme="1"/>
      <name val="Arial Narrow"/>
      <family val="2"/>
    </font>
    <font>
      <i/>
      <sz val="10"/>
      <name val="Arial Narrow"/>
      <family val="2"/>
    </font>
    <font>
      <b/>
      <sz val="12"/>
      <color rgb="FF001F60"/>
      <name val="Arial Narrow"/>
      <family val="2"/>
    </font>
    <font>
      <b/>
      <i/>
      <sz val="12"/>
      <color theme="3"/>
      <name val="Arial Narrow"/>
      <family val="2"/>
    </font>
    <font>
      <i/>
      <sz val="11"/>
      <color theme="1" tint="0.499984740745262"/>
      <name val="Calibri"/>
      <family val="2"/>
      <scheme val="minor"/>
    </font>
    <font>
      <sz val="12"/>
      <color theme="3"/>
      <name val="Arial Narrow"/>
      <family val="2"/>
    </font>
    <font>
      <b/>
      <sz val="16"/>
      <name val="Arial Narrow"/>
      <family val="2"/>
    </font>
    <font>
      <b/>
      <i/>
      <sz val="16"/>
      <color theme="0"/>
      <name val="Arial Narrow"/>
      <family val="2"/>
    </font>
    <font>
      <i/>
      <sz val="12"/>
      <color theme="1" tint="0.499984740745262"/>
      <name val="Calibri"/>
      <family val="2"/>
      <scheme val="minor"/>
    </font>
    <font>
      <b/>
      <sz val="11"/>
      <color theme="1"/>
      <name val="Calibri"/>
      <family val="2"/>
      <scheme val="minor"/>
    </font>
    <font>
      <sz val="16"/>
      <name val="Arial Narrow"/>
      <family val="2"/>
    </font>
    <font>
      <b/>
      <u/>
      <sz val="11"/>
      <color theme="0"/>
      <name val="Arial Narrow"/>
      <family val="2"/>
    </font>
    <font>
      <b/>
      <u/>
      <sz val="12"/>
      <color theme="0"/>
      <name val="Arial Narrow"/>
      <family val="2"/>
    </font>
    <font>
      <b/>
      <sz val="14"/>
      <color theme="0"/>
      <name val="Arial Narrow"/>
      <family val="2"/>
    </font>
    <font>
      <i/>
      <sz val="10"/>
      <color theme="1"/>
      <name val="Arial Narrow"/>
      <family val="2"/>
    </font>
    <font>
      <sz val="12"/>
      <color theme="0"/>
      <name val="Arial Narrow"/>
      <family val="2"/>
    </font>
    <font>
      <b/>
      <sz val="14"/>
      <color rgb="FFC082E6"/>
      <name val="Arial Narrow"/>
      <family val="2"/>
    </font>
    <font>
      <i/>
      <u val="singleAccounting"/>
      <sz val="12"/>
      <name val="Arial Narrow"/>
      <family val="2"/>
    </font>
    <font>
      <sz val="10"/>
      <color theme="1"/>
      <name val="Arial"/>
      <family val="2"/>
    </font>
    <font>
      <sz val="12"/>
      <color theme="1"/>
      <name val="Arial"/>
      <family val="2"/>
    </font>
    <font>
      <sz val="14"/>
      <color theme="1"/>
      <name val="Arial"/>
      <family val="2"/>
    </font>
    <font>
      <sz val="9"/>
      <color theme="1"/>
      <name val="Arial"/>
      <family val="2"/>
    </font>
    <font>
      <b/>
      <sz val="11"/>
      <color theme="0"/>
      <name val="Calibri"/>
      <family val="2"/>
      <scheme val="minor"/>
    </font>
    <font>
      <i/>
      <sz val="11"/>
      <color rgb="FF002060"/>
      <name val="Calibri"/>
      <family val="2"/>
      <scheme val="minor"/>
    </font>
    <font>
      <b/>
      <i/>
      <sz val="9.5"/>
      <color theme="0"/>
      <name val="Calibri"/>
      <family val="2"/>
      <scheme val="minor"/>
    </font>
    <font>
      <i/>
      <sz val="10"/>
      <color rgb="FF002060"/>
      <name val="Calibri"/>
      <family val="2"/>
      <scheme val="minor"/>
    </font>
    <font>
      <i/>
      <sz val="11"/>
      <color theme="0"/>
      <name val="Calibri"/>
      <family val="2"/>
      <scheme val="minor"/>
    </font>
    <font>
      <b/>
      <sz val="12"/>
      <color theme="0"/>
      <name val="Calibri"/>
      <family val="2"/>
      <scheme val="minor"/>
    </font>
    <font>
      <b/>
      <i/>
      <sz val="11"/>
      <color theme="0"/>
      <name val="Calibri"/>
      <family val="2"/>
      <scheme val="minor"/>
    </font>
  </fonts>
  <fills count="30">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rgb="FF002060"/>
        <bgColor indexed="64"/>
      </patternFill>
    </fill>
    <fill>
      <patternFill patternType="solid">
        <fgColor theme="8" tint="0.59999389629810485"/>
        <bgColor indexed="64"/>
      </patternFill>
    </fill>
    <fill>
      <patternFill patternType="solid">
        <fgColor rgb="FF102D5D"/>
        <bgColor indexed="64"/>
      </patternFill>
    </fill>
    <fill>
      <patternFill patternType="solid">
        <fgColor theme="2" tint="-0.249977111117893"/>
        <bgColor indexed="64"/>
      </patternFill>
    </fill>
    <fill>
      <patternFill patternType="solid">
        <fgColor theme="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rgb="FFFF2600"/>
        <bgColor indexed="64"/>
      </patternFill>
    </fill>
    <fill>
      <patternFill patternType="solid">
        <fgColor rgb="FFE7E6E6"/>
        <bgColor indexed="64"/>
      </patternFill>
    </fill>
    <fill>
      <patternFill patternType="solid">
        <fgColor rgb="FFD3B4E6"/>
        <bgColor indexed="64"/>
      </patternFill>
    </fill>
    <fill>
      <patternFill patternType="solid">
        <fgColor rgb="FFF0E5F7"/>
        <bgColor indexed="64"/>
      </patternFill>
    </fill>
    <fill>
      <patternFill patternType="solid">
        <fgColor rgb="FFFF9B9D"/>
        <bgColor indexed="64"/>
      </patternFill>
    </fill>
    <fill>
      <patternFill patternType="solid">
        <fgColor rgb="FFE0C0A0"/>
        <bgColor indexed="64"/>
      </patternFill>
    </fill>
    <fill>
      <patternFill patternType="solid">
        <fgColor rgb="FFFFFF00"/>
        <bgColor indexed="64"/>
      </patternFill>
    </fill>
    <fill>
      <patternFill patternType="solid">
        <fgColor rgb="FFE09CE0"/>
        <bgColor indexed="64"/>
      </patternFill>
    </fill>
    <fill>
      <patternFill patternType="solid">
        <fgColor rgb="FF7030A0"/>
        <bgColor indexed="64"/>
      </patternFill>
    </fill>
    <fill>
      <patternFill patternType="solid">
        <fgColor rgb="FFC082E6"/>
        <bgColor indexed="64"/>
      </patternFill>
    </fill>
    <fill>
      <patternFill patternType="solid">
        <fgColor theme="8" tint="0.79998168889431442"/>
        <bgColor indexed="64"/>
      </patternFill>
    </fill>
    <fill>
      <patternFill patternType="solid">
        <fgColor rgb="FF946A37"/>
        <bgColor indexed="64"/>
      </patternFill>
    </fill>
    <fill>
      <patternFill patternType="solid">
        <fgColor theme="9" tint="0.39997558519241921"/>
        <bgColor indexed="64"/>
      </patternFill>
    </fill>
    <fill>
      <patternFill patternType="solid">
        <fgColor rgb="FFD9E1F2"/>
        <bgColor indexed="64"/>
      </patternFill>
    </fill>
  </fills>
  <borders count="95">
    <border>
      <left/>
      <right/>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right style="thin">
        <color auto="1"/>
      </right>
      <top/>
      <bottom/>
      <diagonal/>
    </border>
    <border>
      <left/>
      <right style="thin">
        <color auto="1"/>
      </right>
      <top style="medium">
        <color indexed="64"/>
      </top>
      <bottom/>
      <diagonal/>
    </border>
    <border>
      <left style="thin">
        <color auto="1"/>
      </left>
      <right/>
      <top/>
      <bottom/>
      <diagonal/>
    </border>
    <border>
      <left style="medium">
        <color auto="1"/>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right style="thin">
        <color auto="1"/>
      </right>
      <top/>
      <bottom style="thin">
        <color indexed="64"/>
      </bottom>
      <diagonal/>
    </border>
    <border>
      <left style="thin">
        <color auto="1"/>
      </left>
      <right/>
      <top/>
      <bottom style="thin">
        <color indexed="64"/>
      </bottom>
      <diagonal/>
    </border>
    <border>
      <left/>
      <right style="thin">
        <color auto="1"/>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ck">
        <color rgb="FFFF0000"/>
      </right>
      <top style="medium">
        <color indexed="64"/>
      </top>
      <bottom style="thin">
        <color indexed="64"/>
      </bottom>
      <diagonal/>
    </border>
    <border>
      <left/>
      <right style="medium">
        <color rgb="FFFF0000"/>
      </right>
      <top/>
      <bottom/>
      <diagonal/>
    </border>
    <border>
      <left/>
      <right style="thin">
        <color indexed="64"/>
      </right>
      <top style="thin">
        <color indexed="64"/>
      </top>
      <bottom style="thin">
        <color indexed="64"/>
      </bottom>
      <diagonal/>
    </border>
    <border>
      <left style="thin">
        <color indexed="64"/>
      </left>
      <right style="thick">
        <color rgb="FFFF0000"/>
      </right>
      <top/>
      <bottom style="thin">
        <color indexed="64"/>
      </bottom>
      <diagonal/>
    </border>
    <border>
      <left style="thin">
        <color indexed="64"/>
      </left>
      <right/>
      <top style="thin">
        <color indexed="64"/>
      </top>
      <bottom style="thin">
        <color indexed="64"/>
      </bottom>
      <diagonal/>
    </border>
    <border>
      <left style="medium">
        <color rgb="FFFF0000"/>
      </left>
      <right/>
      <top style="thin">
        <color indexed="64"/>
      </top>
      <bottom/>
      <diagonal/>
    </border>
    <border>
      <left style="thin">
        <color indexed="64"/>
      </left>
      <right style="thick">
        <color rgb="FFFF0000"/>
      </right>
      <top style="thin">
        <color indexed="64"/>
      </top>
      <bottom style="thin">
        <color indexed="64"/>
      </bottom>
      <diagonal/>
    </border>
    <border>
      <left style="medium">
        <color rgb="FFFF0000"/>
      </left>
      <right/>
      <top/>
      <bottom/>
      <diagonal/>
    </border>
    <border>
      <left style="thin">
        <color indexed="64"/>
      </left>
      <right/>
      <top style="thin">
        <color indexed="64"/>
      </top>
      <bottom style="medium">
        <color indexed="64"/>
      </bottom>
      <diagonal/>
    </border>
    <border>
      <left/>
      <right style="medium">
        <color rgb="FFFF0000"/>
      </right>
      <top/>
      <bottom style="medium">
        <color indexed="64"/>
      </bottom>
      <diagonal/>
    </border>
    <border>
      <left style="medium">
        <color rgb="FFFF0000"/>
      </left>
      <right/>
      <top/>
      <bottom style="medium">
        <color indexed="64"/>
      </bottom>
      <diagonal/>
    </border>
    <border>
      <left style="thin">
        <color indexed="64"/>
      </left>
      <right style="thick">
        <color rgb="FFFF0000"/>
      </right>
      <top style="thin">
        <color indexed="64"/>
      </top>
      <bottom style="medium">
        <color indexed="64"/>
      </bottom>
      <diagonal/>
    </border>
    <border>
      <left/>
      <right style="thick">
        <color rgb="FFFF0000"/>
      </right>
      <top/>
      <bottom/>
      <diagonal/>
    </border>
    <border>
      <left style="thin">
        <color indexed="64"/>
      </left>
      <right style="thick">
        <color rgb="FFFF0000"/>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ck">
        <color rgb="FFFF0000"/>
      </right>
      <top style="thin">
        <color indexed="64"/>
      </top>
      <bottom/>
      <diagonal/>
    </border>
    <border>
      <left/>
      <right style="medium">
        <color rgb="FFFF0000"/>
      </right>
      <top style="thin">
        <color indexed="64"/>
      </top>
      <bottom style="medium">
        <color indexed="64"/>
      </bottom>
      <diagonal/>
    </border>
    <border>
      <left style="medium">
        <color rgb="FF002060"/>
      </left>
      <right style="medium">
        <color rgb="FF002060"/>
      </right>
      <top style="medium">
        <color rgb="FF002060"/>
      </top>
      <bottom style="medium">
        <color rgb="FF002060"/>
      </bottom>
      <diagonal/>
    </border>
    <border>
      <left/>
      <right style="medium">
        <color rgb="FF002060"/>
      </right>
      <top style="medium">
        <color rgb="FF002060"/>
      </top>
      <bottom style="medium">
        <color rgb="FF002060"/>
      </bottom>
      <diagonal/>
    </border>
    <border>
      <left style="medium">
        <color rgb="FF002060"/>
      </left>
      <right/>
      <top style="medium">
        <color rgb="FF002060"/>
      </top>
      <bottom style="medium">
        <color rgb="FF002060"/>
      </bottom>
      <diagonal/>
    </border>
    <border>
      <left style="medium">
        <color theme="0"/>
      </left>
      <right style="medium">
        <color rgb="FF002060"/>
      </right>
      <top style="medium">
        <color rgb="FF002060"/>
      </top>
      <bottom style="medium">
        <color rgb="FF002060"/>
      </bottom>
      <diagonal/>
    </border>
    <border>
      <left style="medium">
        <color theme="0"/>
      </left>
      <right style="medium">
        <color theme="0"/>
      </right>
      <top style="medium">
        <color rgb="FF002060"/>
      </top>
      <bottom style="medium">
        <color rgb="FF002060"/>
      </bottom>
      <diagonal/>
    </border>
    <border>
      <left style="medium">
        <color rgb="FF002060"/>
      </left>
      <right style="medium">
        <color theme="0"/>
      </right>
      <top style="medium">
        <color rgb="FF002060"/>
      </top>
      <bottom style="medium">
        <color rgb="FF002060"/>
      </bottom>
      <diagonal/>
    </border>
    <border>
      <left style="medium">
        <color rgb="FF002060"/>
      </left>
      <right style="medium">
        <color rgb="FF002060"/>
      </right>
      <top style="thin">
        <color rgb="FF002060"/>
      </top>
      <bottom style="thin">
        <color rgb="FF002060"/>
      </bottom>
      <diagonal/>
    </border>
    <border>
      <left style="medium">
        <color rgb="FF002060"/>
      </left>
      <right/>
      <top style="thin">
        <color rgb="FF002060"/>
      </top>
      <bottom style="thin">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thin">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diagonal/>
    </border>
    <border>
      <left style="medium">
        <color rgb="FF002060"/>
      </left>
      <right/>
      <top style="medium">
        <color rgb="FF002060"/>
      </top>
      <bottom/>
      <diagonal/>
    </border>
    <border>
      <left style="medium">
        <color rgb="FF002060"/>
      </left>
      <right style="medium">
        <color rgb="FF002060"/>
      </right>
      <top/>
      <bottom style="medium">
        <color rgb="FF002060"/>
      </bottom>
      <diagonal/>
    </border>
    <border>
      <left style="medium">
        <color rgb="FF002060"/>
      </left>
      <right/>
      <top/>
      <bottom style="medium">
        <color rgb="FF002060"/>
      </bottom>
      <diagonal/>
    </border>
    <border>
      <left style="medium">
        <color rgb="FF002060"/>
      </left>
      <right style="medium">
        <color rgb="FF002060"/>
      </right>
      <top style="thin">
        <color rgb="FF002060"/>
      </top>
      <bottom/>
      <diagonal/>
    </border>
    <border>
      <left/>
      <right style="medium">
        <color rgb="FF002060"/>
      </right>
      <top style="thin">
        <color rgb="FF002060"/>
      </top>
      <bottom style="thin">
        <color rgb="FF002060"/>
      </bottom>
      <diagonal/>
    </border>
  </borders>
  <cellStyleXfs count="12">
    <xf numFmtId="0" fontId="0" fillId="0" borderId="0"/>
    <xf numFmtId="43" fontId="12" fillId="0" borderId="0" applyFont="0" applyFill="0" applyBorder="0" applyAlignment="0" applyProtection="0"/>
    <xf numFmtId="0" fontId="14" fillId="0" borderId="0"/>
    <xf numFmtId="0" fontId="18" fillId="0" borderId="0"/>
    <xf numFmtId="9" fontId="12" fillId="0" borderId="0" applyFont="0" applyFill="0" applyBorder="0" applyAlignment="0" applyProtection="0"/>
    <xf numFmtId="0" fontId="14" fillId="0" borderId="0"/>
    <xf numFmtId="43" fontId="12" fillId="0" borderId="0" applyFont="0" applyFill="0" applyBorder="0" applyAlignment="0" applyProtection="0"/>
    <xf numFmtId="165" fontId="12" fillId="0" borderId="0" applyFont="0" applyFill="0" applyBorder="0" applyAlignment="0" applyProtection="0"/>
    <xf numFmtId="44" fontId="12" fillId="0" borderId="0" applyFont="0" applyFill="0" applyBorder="0" applyAlignment="0" applyProtection="0"/>
    <xf numFmtId="0" fontId="2" fillId="0" borderId="0"/>
    <xf numFmtId="0" fontId="1" fillId="0" borderId="0"/>
    <xf numFmtId="0" fontId="12" fillId="0" borderId="0"/>
  </cellStyleXfs>
  <cellXfs count="606">
    <xf numFmtId="0" fontId="0" fillId="0" borderId="0" xfId="0"/>
    <xf numFmtId="0" fontId="3" fillId="0" borderId="0" xfId="0" applyFont="1"/>
    <xf numFmtId="0" fontId="3" fillId="7" borderId="0" xfId="0" applyFont="1" applyFill="1"/>
    <xf numFmtId="0" fontId="4" fillId="0" borderId="0" xfId="0" applyFont="1" applyAlignment="1">
      <alignment horizontal="center"/>
    </xf>
    <xf numFmtId="0" fontId="0" fillId="0" borderId="0" xfId="0" applyAlignment="1">
      <alignment vertical="center"/>
    </xf>
    <xf numFmtId="0" fontId="0" fillId="7" borderId="0" xfId="0" applyFill="1"/>
    <xf numFmtId="0" fontId="0" fillId="0" borderId="17" xfId="0" applyBorder="1"/>
    <xf numFmtId="0" fontId="0" fillId="0" borderId="16" xfId="0" applyBorder="1"/>
    <xf numFmtId="0" fontId="0" fillId="0" borderId="20" xfId="0" applyBorder="1"/>
    <xf numFmtId="0" fontId="0" fillId="0" borderId="31" xfId="0" applyBorder="1"/>
    <xf numFmtId="0" fontId="0" fillId="0" borderId="38" xfId="0" applyBorder="1"/>
    <xf numFmtId="0" fontId="15" fillId="7" borderId="0" xfId="2" applyFont="1" applyFill="1" applyAlignment="1">
      <alignment horizontal="right" vertical="center"/>
    </xf>
    <xf numFmtId="14" fontId="15" fillId="7" borderId="0" xfId="2" applyNumberFormat="1" applyFont="1" applyFill="1" applyAlignment="1">
      <alignment horizontal="center" vertical="center"/>
    </xf>
    <xf numFmtId="0" fontId="0" fillId="0" borderId="31" xfId="0" applyBorder="1" applyAlignment="1">
      <alignment vertical="center"/>
    </xf>
    <xf numFmtId="0" fontId="16" fillId="10" borderId="0" xfId="2" applyFont="1" applyFill="1" applyAlignment="1">
      <alignment vertical="center"/>
    </xf>
    <xf numFmtId="14" fontId="16" fillId="10" borderId="0" xfId="2" applyNumberFormat="1" applyFont="1" applyFill="1" applyAlignment="1">
      <alignment horizontal="center" vertical="center"/>
    </xf>
    <xf numFmtId="0" fontId="17" fillId="10" borderId="0" xfId="0" applyFont="1" applyFill="1" applyAlignment="1">
      <alignment vertical="center"/>
    </xf>
    <xf numFmtId="0" fontId="0" fillId="10" borderId="0" xfId="0" applyFill="1" applyAlignment="1">
      <alignment vertical="center"/>
    </xf>
    <xf numFmtId="0" fontId="0" fillId="0" borderId="38" xfId="0" applyBorder="1" applyAlignment="1">
      <alignment vertical="center"/>
    </xf>
    <xf numFmtId="0" fontId="6" fillId="11" borderId="0" xfId="2" applyFont="1" applyFill="1" applyAlignment="1">
      <alignment horizontal="center" vertical="center"/>
    </xf>
    <xf numFmtId="0" fontId="6" fillId="11" borderId="0" xfId="2" applyFont="1" applyFill="1" applyAlignment="1">
      <alignment horizontal="center" vertical="center" wrapText="1"/>
    </xf>
    <xf numFmtId="0" fontId="19" fillId="0" borderId="26" xfId="3" applyFont="1" applyBorder="1" applyAlignment="1">
      <alignment horizontal="left" vertical="center" wrapText="1" indent="1"/>
    </xf>
    <xf numFmtId="0" fontId="19" fillId="0" borderId="42" xfId="3" applyFont="1" applyBorder="1" applyAlignment="1">
      <alignment horizontal="left" vertical="center" wrapText="1" indent="1"/>
    </xf>
    <xf numFmtId="0" fontId="20" fillId="0" borderId="42" xfId="3" applyFont="1" applyBorder="1" applyAlignment="1">
      <alignment horizontal="left" vertical="center" wrapText="1" indent="1"/>
    </xf>
    <xf numFmtId="166" fontId="21" fillId="0" borderId="0" xfId="3" applyNumberFormat="1" applyFont="1" applyAlignment="1">
      <alignment horizontal="left" vertical="center" wrapText="1" indent="1"/>
    </xf>
    <xf numFmtId="166" fontId="19" fillId="0" borderId="27" xfId="1" applyNumberFormat="1" applyFont="1" applyFill="1" applyBorder="1" applyAlignment="1">
      <alignment horizontal="left" vertical="center" wrapText="1" indent="1"/>
    </xf>
    <xf numFmtId="0" fontId="23" fillId="13" borderId="26" xfId="3" applyFont="1" applyFill="1" applyBorder="1" applyAlignment="1">
      <alignment horizontal="left" vertical="center" wrapText="1" indent="1"/>
    </xf>
    <xf numFmtId="167" fontId="20" fillId="13" borderId="42" xfId="1" applyNumberFormat="1" applyFont="1" applyFill="1" applyBorder="1" applyAlignment="1">
      <alignment horizontal="center" vertical="center" wrapText="1"/>
    </xf>
    <xf numFmtId="166" fontId="25" fillId="13" borderId="44" xfId="3" applyNumberFormat="1" applyFont="1" applyFill="1" applyBorder="1" applyAlignment="1">
      <alignment horizontal="left" vertical="center" wrapText="1" indent="1"/>
    </xf>
    <xf numFmtId="166" fontId="20" fillId="13" borderId="27" xfId="1" applyNumberFormat="1" applyFont="1" applyFill="1" applyBorder="1" applyAlignment="1">
      <alignment horizontal="left" vertical="center" wrapText="1" indent="1"/>
    </xf>
    <xf numFmtId="0" fontId="26" fillId="0" borderId="26" xfId="3" applyFont="1" applyBorder="1" applyAlignment="1">
      <alignment horizontal="left" vertical="center" wrapText="1" indent="1"/>
    </xf>
    <xf numFmtId="167" fontId="19" fillId="0" borderId="0" xfId="1" applyNumberFormat="1" applyFont="1" applyFill="1" applyBorder="1" applyAlignment="1">
      <alignment horizontal="center" vertical="center" wrapText="1"/>
    </xf>
    <xf numFmtId="168" fontId="25" fillId="0" borderId="44" xfId="3" applyNumberFormat="1" applyFont="1" applyBorder="1" applyAlignment="1">
      <alignment horizontal="center" vertical="center" wrapText="1"/>
    </xf>
    <xf numFmtId="168" fontId="25" fillId="0" borderId="44" xfId="3" applyNumberFormat="1" applyFont="1" applyBorder="1" applyAlignment="1">
      <alignment horizontal="right" vertical="center" wrapText="1"/>
    </xf>
    <xf numFmtId="168" fontId="25" fillId="0" borderId="27" xfId="3" applyNumberFormat="1" applyFont="1" applyBorder="1" applyAlignment="1">
      <alignment horizontal="right" vertical="center" wrapText="1"/>
    </xf>
    <xf numFmtId="0" fontId="26" fillId="0" borderId="31" xfId="3" applyFont="1" applyBorder="1" applyAlignment="1">
      <alignment horizontal="left" vertical="center" wrapText="1" indent="1"/>
    </xf>
    <xf numFmtId="0" fontId="20" fillId="14" borderId="42" xfId="3" applyFont="1" applyFill="1" applyBorder="1" applyAlignment="1">
      <alignment horizontal="left" vertical="center" wrapText="1" indent="1"/>
    </xf>
    <xf numFmtId="10" fontId="20" fillId="14" borderId="39" xfId="3" applyNumberFormat="1" applyFont="1" applyFill="1" applyBorder="1" applyAlignment="1">
      <alignment horizontal="center" vertical="center" wrapText="1"/>
    </xf>
    <xf numFmtId="166" fontId="25" fillId="14" borderId="44" xfId="3" applyNumberFormat="1" applyFont="1" applyFill="1" applyBorder="1" applyAlignment="1">
      <alignment horizontal="left" vertical="center" wrapText="1" indent="1"/>
    </xf>
    <xf numFmtId="0" fontId="19" fillId="0" borderId="0" xfId="3" applyFont="1" applyAlignment="1">
      <alignment horizontal="left" vertical="center" wrapText="1" indent="1"/>
    </xf>
    <xf numFmtId="10" fontId="20" fillId="0" borderId="44" xfId="3" applyNumberFormat="1" applyFont="1" applyBorder="1" applyAlignment="1">
      <alignment horizontal="center" vertical="center" wrapText="1"/>
    </xf>
    <xf numFmtId="166" fontId="21" fillId="0" borderId="44" xfId="3" applyNumberFormat="1" applyFont="1" applyBorder="1" applyAlignment="1">
      <alignment horizontal="left" vertical="center" wrapText="1" indent="1"/>
    </xf>
    <xf numFmtId="0" fontId="26" fillId="0" borderId="0" xfId="3" applyFont="1" applyAlignment="1">
      <alignment horizontal="left" vertical="center" wrapText="1" indent="1"/>
    </xf>
    <xf numFmtId="10" fontId="20" fillId="0" borderId="0" xfId="3" applyNumberFormat="1" applyFont="1" applyAlignment="1">
      <alignment horizontal="center" vertical="center" wrapText="1"/>
    </xf>
    <xf numFmtId="166" fontId="19" fillId="0" borderId="0" xfId="1" applyNumberFormat="1" applyFont="1" applyFill="1" applyBorder="1" applyAlignment="1">
      <alignment horizontal="left" vertical="center" wrapText="1" indent="1"/>
    </xf>
    <xf numFmtId="166" fontId="25" fillId="0" borderId="0" xfId="3" applyNumberFormat="1" applyFont="1" applyAlignment="1">
      <alignment horizontal="left" vertical="center" wrapText="1" indent="1"/>
    </xf>
    <xf numFmtId="166" fontId="20" fillId="0" borderId="0" xfId="1" applyNumberFormat="1" applyFont="1" applyFill="1" applyBorder="1" applyAlignment="1">
      <alignment horizontal="left" vertical="center" wrapText="1" indent="1"/>
    </xf>
    <xf numFmtId="0" fontId="20" fillId="6" borderId="34" xfId="3" applyFont="1" applyFill="1" applyBorder="1" applyAlignment="1">
      <alignment horizontal="left" vertical="center" wrapText="1" indent="1"/>
    </xf>
    <xf numFmtId="0" fontId="20" fillId="6" borderId="43" xfId="3" applyFont="1" applyFill="1" applyBorder="1" applyAlignment="1">
      <alignment horizontal="left" vertical="center" wrapText="1" indent="1"/>
    </xf>
    <xf numFmtId="10" fontId="20" fillId="6" borderId="40" xfId="3" applyNumberFormat="1" applyFont="1" applyFill="1" applyBorder="1" applyAlignment="1">
      <alignment horizontal="center" wrapText="1"/>
    </xf>
    <xf numFmtId="166" fontId="25" fillId="6" borderId="35" xfId="3" applyNumberFormat="1" applyFont="1" applyFill="1" applyBorder="1" applyAlignment="1">
      <alignment horizontal="left" vertical="center" wrapText="1" indent="1"/>
    </xf>
    <xf numFmtId="166" fontId="20" fillId="14" borderId="36" xfId="1" applyNumberFormat="1" applyFont="1" applyFill="1" applyBorder="1" applyAlignment="1">
      <alignment horizontal="left" vertical="center" wrapText="1" indent="1"/>
    </xf>
    <xf numFmtId="10" fontId="20" fillId="0" borderId="44" xfId="3" applyNumberFormat="1" applyFont="1" applyBorder="1" applyAlignment="1">
      <alignment horizontal="center" wrapText="1"/>
    </xf>
    <xf numFmtId="0" fontId="26" fillId="0" borderId="21" xfId="3" applyFont="1" applyBorder="1" applyAlignment="1">
      <alignment horizontal="left" vertical="center" wrapText="1" indent="1"/>
    </xf>
    <xf numFmtId="0" fontId="19" fillId="0" borderId="32" xfId="3" applyFont="1" applyBorder="1" applyAlignment="1">
      <alignment horizontal="left" vertical="center" wrapText="1" indent="1"/>
    </xf>
    <xf numFmtId="10" fontId="20" fillId="0" borderId="25" xfId="3" applyNumberFormat="1" applyFont="1" applyBorder="1" applyAlignment="1">
      <alignment horizontal="center" wrapText="1"/>
    </xf>
    <xf numFmtId="166" fontId="21" fillId="0" borderId="25" xfId="3" applyNumberFormat="1" applyFont="1" applyBorder="1" applyAlignment="1">
      <alignment horizontal="left" vertical="center" wrapText="1" indent="1"/>
    </xf>
    <xf numFmtId="166" fontId="19" fillId="0" borderId="23" xfId="1" applyNumberFormat="1" applyFont="1" applyFill="1" applyBorder="1" applyAlignment="1">
      <alignment horizontal="left" vertical="center" wrapText="1" indent="1"/>
    </xf>
    <xf numFmtId="10" fontId="19" fillId="0" borderId="32" xfId="3" applyNumberFormat="1" applyFont="1" applyBorder="1" applyAlignment="1">
      <alignment horizontal="left" vertical="center" wrapText="1" indent="1"/>
    </xf>
    <xf numFmtId="166" fontId="21" fillId="0" borderId="32" xfId="3" applyNumberFormat="1" applyFont="1" applyBorder="1" applyAlignment="1">
      <alignment horizontal="left" vertical="center" wrapText="1" indent="1"/>
    </xf>
    <xf numFmtId="166" fontId="19" fillId="0" borderId="32" xfId="1" applyNumberFormat="1" applyFont="1" applyFill="1" applyBorder="1" applyAlignment="1">
      <alignment horizontal="left" vertical="center" wrapText="1" indent="1"/>
    </xf>
    <xf numFmtId="166" fontId="0" fillId="0" borderId="0" xfId="0" applyNumberFormat="1"/>
    <xf numFmtId="0" fontId="0" fillId="0" borderId="37" xfId="0" applyBorder="1"/>
    <xf numFmtId="0" fontId="0" fillId="0" borderId="32" xfId="0" applyBorder="1"/>
    <xf numFmtId="0" fontId="0" fillId="0" borderId="33" xfId="0" applyBorder="1"/>
    <xf numFmtId="167" fontId="20" fillId="13" borderId="0" xfId="1" applyNumberFormat="1" applyFont="1" applyFill="1" applyBorder="1" applyAlignment="1">
      <alignment horizontal="center" vertical="center" wrapText="1"/>
    </xf>
    <xf numFmtId="169" fontId="0" fillId="0" borderId="0" xfId="0" applyNumberFormat="1"/>
    <xf numFmtId="0" fontId="23" fillId="13" borderId="34" xfId="3" applyFont="1" applyFill="1" applyBorder="1" applyAlignment="1">
      <alignment horizontal="left" vertical="center" wrapText="1" indent="1"/>
    </xf>
    <xf numFmtId="167" fontId="20" fillId="13" borderId="43" xfId="1" applyNumberFormat="1" applyFont="1" applyFill="1" applyBorder="1" applyAlignment="1">
      <alignment horizontal="center" vertical="center" wrapText="1"/>
    </xf>
    <xf numFmtId="168" fontId="20" fillId="13" borderId="40" xfId="3" applyNumberFormat="1" applyFont="1" applyFill="1" applyBorder="1" applyAlignment="1">
      <alignment horizontal="left" vertical="center" wrapText="1" indent="1"/>
    </xf>
    <xf numFmtId="166" fontId="25" fillId="13" borderId="35" xfId="3" applyNumberFormat="1" applyFont="1" applyFill="1" applyBorder="1" applyAlignment="1">
      <alignment horizontal="left" vertical="center" wrapText="1" indent="1"/>
    </xf>
    <xf numFmtId="166" fontId="20" fillId="13" borderId="36" xfId="1" applyNumberFormat="1" applyFont="1" applyFill="1" applyBorder="1" applyAlignment="1">
      <alignment horizontal="left" vertical="center" wrapText="1" indent="1"/>
    </xf>
    <xf numFmtId="0" fontId="26" fillId="0" borderId="45" xfId="3" applyFont="1" applyBorder="1" applyAlignment="1">
      <alignment horizontal="left" vertical="center" wrapText="1" indent="1"/>
    </xf>
    <xf numFmtId="0" fontId="20" fillId="14" borderId="26" xfId="3" applyFont="1" applyFill="1" applyBorder="1" applyAlignment="1">
      <alignment horizontal="left" vertical="center" wrapText="1" indent="1"/>
    </xf>
    <xf numFmtId="166" fontId="20" fillId="14" borderId="27" xfId="1" applyNumberFormat="1" applyFont="1" applyFill="1" applyBorder="1" applyAlignment="1">
      <alignment horizontal="left" vertical="center" wrapText="1" indent="1"/>
    </xf>
    <xf numFmtId="0" fontId="23" fillId="14" borderId="26" xfId="3" applyFont="1" applyFill="1" applyBorder="1" applyAlignment="1">
      <alignment horizontal="left" vertical="center" wrapText="1" indent="1"/>
    </xf>
    <xf numFmtId="10" fontId="20" fillId="0" borderId="25" xfId="3" applyNumberFormat="1" applyFont="1" applyBorder="1" applyAlignment="1">
      <alignment horizontal="center" vertical="center" wrapText="1"/>
    </xf>
    <xf numFmtId="166" fontId="25" fillId="0" borderId="5" xfId="3" applyNumberFormat="1" applyFont="1" applyBorder="1" applyAlignment="1">
      <alignment horizontal="left" vertical="center" wrapText="1" indent="1"/>
    </xf>
    <xf numFmtId="166" fontId="20" fillId="0" borderId="4" xfId="1" applyNumberFormat="1" applyFont="1" applyFill="1" applyBorder="1" applyAlignment="1">
      <alignment horizontal="left" vertical="center" wrapText="1" indent="1"/>
    </xf>
    <xf numFmtId="0" fontId="22" fillId="12" borderId="2" xfId="3" applyFont="1" applyFill="1" applyBorder="1" applyAlignment="1">
      <alignment horizontal="left" vertical="center" wrapText="1" indent="1"/>
    </xf>
    <xf numFmtId="0" fontId="19" fillId="12" borderId="41" xfId="3" applyFont="1" applyFill="1" applyBorder="1" applyAlignment="1">
      <alignment horizontal="left" vertical="center" wrapText="1" indent="1"/>
    </xf>
    <xf numFmtId="0" fontId="20" fillId="12" borderId="41" xfId="3" applyFont="1" applyFill="1" applyBorder="1" applyAlignment="1">
      <alignment horizontal="left" vertical="center" wrapText="1" indent="1"/>
    </xf>
    <xf numFmtId="166" fontId="21" fillId="12" borderId="6" xfId="3" applyNumberFormat="1" applyFont="1" applyFill="1" applyBorder="1" applyAlignment="1">
      <alignment horizontal="left" vertical="center" wrapText="1" indent="1"/>
    </xf>
    <xf numFmtId="166" fontId="19" fillId="12" borderId="4" xfId="1" applyNumberFormat="1" applyFont="1" applyFill="1" applyBorder="1" applyAlignment="1">
      <alignment horizontal="left" vertical="center" wrapText="1" indent="1"/>
    </xf>
    <xf numFmtId="0" fontId="23" fillId="13" borderId="21" xfId="3" applyFont="1" applyFill="1" applyBorder="1" applyAlignment="1">
      <alignment horizontal="left" vertical="center" wrapText="1" indent="1"/>
    </xf>
    <xf numFmtId="167" fontId="20" fillId="13" borderId="32" xfId="1" applyNumberFormat="1" applyFont="1" applyFill="1" applyBorder="1" applyAlignment="1">
      <alignment horizontal="center" vertical="center" wrapText="1"/>
    </xf>
    <xf numFmtId="166" fontId="25" fillId="13" borderId="25" xfId="3" applyNumberFormat="1" applyFont="1" applyFill="1" applyBorder="1" applyAlignment="1">
      <alignment horizontal="left" vertical="center" wrapText="1" indent="1"/>
    </xf>
    <xf numFmtId="166" fontId="20" fillId="13" borderId="23" xfId="1" applyNumberFormat="1" applyFont="1" applyFill="1" applyBorder="1" applyAlignment="1">
      <alignment horizontal="left" vertical="center" wrapText="1" indent="1"/>
    </xf>
    <xf numFmtId="0" fontId="22" fillId="12" borderId="46" xfId="3" applyFont="1" applyFill="1" applyBorder="1" applyAlignment="1">
      <alignment horizontal="left" vertical="center" wrapText="1" indent="1"/>
    </xf>
    <xf numFmtId="0" fontId="19" fillId="12" borderId="47" xfId="3" applyFont="1" applyFill="1" applyBorder="1" applyAlignment="1">
      <alignment horizontal="left" vertical="center" wrapText="1" indent="1"/>
    </xf>
    <xf numFmtId="0" fontId="20" fillId="12" borderId="47" xfId="3" applyFont="1" applyFill="1" applyBorder="1" applyAlignment="1">
      <alignment horizontal="left" vertical="center" wrapText="1" indent="1"/>
    </xf>
    <xf numFmtId="166" fontId="21" fillId="12" borderId="48" xfId="3" applyNumberFormat="1" applyFont="1" applyFill="1" applyBorder="1" applyAlignment="1">
      <alignment horizontal="left" vertical="center" wrapText="1" indent="1"/>
    </xf>
    <xf numFmtId="166" fontId="19" fillId="12" borderId="46" xfId="1" applyNumberFormat="1" applyFont="1" applyFill="1" applyBorder="1" applyAlignment="1">
      <alignment horizontal="left" vertical="center" wrapText="1" indent="1"/>
    </xf>
    <xf numFmtId="167" fontId="20" fillId="13" borderId="50" xfId="1" applyNumberFormat="1" applyFont="1" applyFill="1" applyBorder="1" applyAlignment="1">
      <alignment horizontal="center" vertical="center" wrapText="1"/>
    </xf>
    <xf numFmtId="168" fontId="20" fillId="13" borderId="49" xfId="3" applyNumberFormat="1" applyFont="1" applyFill="1" applyBorder="1" applyAlignment="1">
      <alignment horizontal="left" vertical="center" wrapText="1" indent="1"/>
    </xf>
    <xf numFmtId="166" fontId="25" fillId="13" borderId="51" xfId="3" applyNumberFormat="1" applyFont="1" applyFill="1" applyBorder="1" applyAlignment="1">
      <alignment horizontal="left" vertical="center" wrapText="1" indent="1"/>
    </xf>
    <xf numFmtId="166" fontId="20" fillId="13" borderId="49" xfId="1" applyNumberFormat="1" applyFont="1" applyFill="1" applyBorder="1" applyAlignment="1">
      <alignment horizontal="left" vertical="center" wrapText="1" indent="1"/>
    </xf>
    <xf numFmtId="0" fontId="0" fillId="7" borderId="17" xfId="0" applyFill="1" applyBorder="1"/>
    <xf numFmtId="0" fontId="0" fillId="7" borderId="16" xfId="0" applyFill="1" applyBorder="1"/>
    <xf numFmtId="0" fontId="0" fillId="7" borderId="20" xfId="0" applyFill="1" applyBorder="1"/>
    <xf numFmtId="0" fontId="0" fillId="7" borderId="31" xfId="0" applyFill="1" applyBorder="1"/>
    <xf numFmtId="0" fontId="0" fillId="7" borderId="38" xfId="0" applyFill="1" applyBorder="1"/>
    <xf numFmtId="0" fontId="22" fillId="14" borderId="26" xfId="3" applyFont="1" applyFill="1" applyBorder="1" applyAlignment="1">
      <alignment horizontal="left" vertical="center" wrapText="1" indent="1"/>
    </xf>
    <xf numFmtId="166" fontId="21" fillId="14" borderId="0" xfId="3" applyNumberFormat="1" applyFont="1" applyFill="1" applyAlignment="1">
      <alignment horizontal="left" vertical="center" wrapText="1" indent="1"/>
    </xf>
    <xf numFmtId="166" fontId="19" fillId="14" borderId="27" xfId="1" applyNumberFormat="1" applyFont="1" applyFill="1" applyBorder="1" applyAlignment="1">
      <alignment horizontal="left" vertical="center" wrapText="1" indent="1"/>
    </xf>
    <xf numFmtId="0" fontId="22" fillId="12" borderId="18" xfId="3" applyFont="1" applyFill="1" applyBorder="1" applyAlignment="1">
      <alignment horizontal="left" vertical="center" wrapText="1" indent="1"/>
    </xf>
    <xf numFmtId="166" fontId="19" fillId="12" borderId="19" xfId="1" applyNumberFormat="1" applyFont="1" applyFill="1" applyBorder="1" applyAlignment="1">
      <alignment horizontal="left" vertical="center" wrapText="1" indent="1"/>
    </xf>
    <xf numFmtId="167" fontId="20" fillId="13" borderId="52" xfId="1" applyNumberFormat="1" applyFont="1" applyFill="1" applyBorder="1" applyAlignment="1">
      <alignment horizontal="center" vertical="center" wrapText="1"/>
    </xf>
    <xf numFmtId="168" fontId="20" fillId="13" borderId="22" xfId="3" applyNumberFormat="1" applyFont="1" applyFill="1" applyBorder="1" applyAlignment="1">
      <alignment horizontal="left" vertical="center" wrapText="1" indent="1"/>
    </xf>
    <xf numFmtId="166" fontId="30" fillId="11" borderId="15" xfId="3" applyNumberFormat="1" applyFont="1" applyFill="1" applyBorder="1" applyAlignment="1">
      <alignment horizontal="left" vertical="center" indent="1"/>
    </xf>
    <xf numFmtId="167" fontId="20" fillId="13" borderId="44" xfId="1" applyNumberFormat="1" applyFont="1" applyFill="1" applyBorder="1" applyAlignment="1">
      <alignment horizontal="center" vertical="center" wrapText="1"/>
    </xf>
    <xf numFmtId="167" fontId="19" fillId="14" borderId="42" xfId="3" applyNumberFormat="1" applyFont="1" applyFill="1" applyBorder="1" applyAlignment="1">
      <alignment horizontal="left" vertical="center" wrapText="1" indent="1"/>
    </xf>
    <xf numFmtId="0" fontId="31" fillId="11" borderId="0" xfId="2" applyFont="1" applyFill="1" applyAlignment="1">
      <alignment horizontal="center" vertical="center" wrapText="1"/>
    </xf>
    <xf numFmtId="168" fontId="32" fillId="17" borderId="39" xfId="3" applyNumberFormat="1" applyFont="1" applyFill="1" applyBorder="1" applyAlignment="1">
      <alignment horizontal="left" vertical="center" wrapText="1" indent="1"/>
    </xf>
    <xf numFmtId="168" fontId="32" fillId="17" borderId="44" xfId="3" applyNumberFormat="1" applyFont="1" applyFill="1" applyBorder="1" applyAlignment="1">
      <alignment horizontal="left" vertical="center" wrapText="1" indent="1"/>
    </xf>
    <xf numFmtId="168" fontId="32" fillId="13" borderId="25" xfId="3" applyNumberFormat="1" applyFont="1" applyFill="1" applyBorder="1" applyAlignment="1">
      <alignment horizontal="left" vertical="center" wrapText="1" indent="1"/>
    </xf>
    <xf numFmtId="0" fontId="26" fillId="7" borderId="26" xfId="3" applyFont="1" applyFill="1" applyBorder="1" applyAlignment="1">
      <alignment horizontal="left" vertical="center" wrapText="1" indent="1"/>
    </xf>
    <xf numFmtId="167" fontId="19" fillId="7" borderId="0" xfId="1" applyNumberFormat="1" applyFont="1" applyFill="1" applyBorder="1" applyAlignment="1">
      <alignment horizontal="center" vertical="center" wrapText="1"/>
    </xf>
    <xf numFmtId="168" fontId="33" fillId="7" borderId="44" xfId="3" applyNumberFormat="1" applyFont="1" applyFill="1" applyBorder="1" applyAlignment="1">
      <alignment horizontal="center" vertical="center" wrapText="1"/>
    </xf>
    <xf numFmtId="168" fontId="25" fillId="7" borderId="44" xfId="3" applyNumberFormat="1" applyFont="1" applyFill="1" applyBorder="1" applyAlignment="1">
      <alignment horizontal="right" vertical="center" wrapText="1"/>
    </xf>
    <xf numFmtId="168" fontId="25" fillId="7" borderId="27" xfId="3" applyNumberFormat="1" applyFont="1" applyFill="1" applyBorder="1" applyAlignment="1">
      <alignment horizontal="right" vertical="center" wrapText="1"/>
    </xf>
    <xf numFmtId="168" fontId="25" fillId="7" borderId="44" xfId="3" applyNumberFormat="1" applyFont="1" applyFill="1" applyBorder="1" applyAlignment="1">
      <alignment horizontal="center" vertical="center" wrapText="1"/>
    </xf>
    <xf numFmtId="0" fontId="26" fillId="7" borderId="45" xfId="3" applyFont="1" applyFill="1" applyBorder="1" applyAlignment="1">
      <alignment horizontal="left" vertical="center" wrapText="1" indent="1"/>
    </xf>
    <xf numFmtId="0" fontId="19" fillId="7" borderId="0" xfId="3" applyFont="1" applyFill="1" applyAlignment="1">
      <alignment horizontal="left" vertical="center" wrapText="1" indent="1"/>
    </xf>
    <xf numFmtId="10" fontId="20" fillId="7" borderId="44" xfId="3" applyNumberFormat="1" applyFont="1" applyFill="1" applyBorder="1" applyAlignment="1">
      <alignment horizontal="center" vertical="center" wrapText="1"/>
    </xf>
    <xf numFmtId="166" fontId="21" fillId="7" borderId="44" xfId="3" applyNumberFormat="1" applyFont="1" applyFill="1" applyBorder="1" applyAlignment="1">
      <alignment horizontal="left" vertical="center" wrapText="1" indent="1"/>
    </xf>
    <xf numFmtId="166" fontId="19" fillId="7" borderId="27" xfId="1" applyNumberFormat="1" applyFont="1" applyFill="1" applyBorder="1" applyAlignment="1">
      <alignment horizontal="left" vertical="center" wrapText="1" indent="1"/>
    </xf>
    <xf numFmtId="0" fontId="19" fillId="7" borderId="26" xfId="3" applyFont="1" applyFill="1" applyBorder="1" applyAlignment="1">
      <alignment horizontal="left" vertical="center" wrapText="1" indent="1"/>
    </xf>
    <xf numFmtId="0" fontId="26" fillId="7" borderId="21" xfId="3" applyFont="1" applyFill="1" applyBorder="1" applyAlignment="1">
      <alignment horizontal="left" vertical="center" wrapText="1" indent="1"/>
    </xf>
    <xf numFmtId="0" fontId="19" fillId="7" borderId="32" xfId="3" applyFont="1" applyFill="1" applyBorder="1" applyAlignment="1">
      <alignment horizontal="left" vertical="center" wrapText="1" indent="1"/>
    </xf>
    <xf numFmtId="10" fontId="20" fillId="7" borderId="25" xfId="3" applyNumberFormat="1" applyFont="1" applyFill="1" applyBorder="1" applyAlignment="1">
      <alignment horizontal="center" vertical="center" wrapText="1"/>
    </xf>
    <xf numFmtId="166" fontId="21" fillId="7" borderId="25" xfId="3" applyNumberFormat="1" applyFont="1" applyFill="1" applyBorder="1" applyAlignment="1">
      <alignment horizontal="left" vertical="center" wrapText="1" indent="1"/>
    </xf>
    <xf numFmtId="166" fontId="19" fillId="7" borderId="23" xfId="1" applyNumberFormat="1" applyFont="1" applyFill="1" applyBorder="1" applyAlignment="1">
      <alignment horizontal="left" vertical="center" wrapText="1" indent="1"/>
    </xf>
    <xf numFmtId="10" fontId="20" fillId="7" borderId="44" xfId="3" applyNumberFormat="1" applyFont="1" applyFill="1" applyBorder="1" applyAlignment="1">
      <alignment horizontal="center" wrapText="1"/>
    </xf>
    <xf numFmtId="10" fontId="20" fillId="7" borderId="25" xfId="3" applyNumberFormat="1" applyFont="1" applyFill="1" applyBorder="1" applyAlignment="1">
      <alignment horizontal="center" wrapText="1"/>
    </xf>
    <xf numFmtId="0" fontId="0" fillId="7" borderId="31" xfId="0" applyFill="1" applyBorder="1" applyAlignment="1">
      <alignment vertical="center"/>
    </xf>
    <xf numFmtId="0" fontId="0" fillId="7" borderId="37" xfId="0" applyFill="1" applyBorder="1"/>
    <xf numFmtId="0" fontId="0" fillId="7" borderId="38" xfId="0" applyFill="1" applyBorder="1" applyAlignment="1">
      <alignment vertical="center"/>
    </xf>
    <xf numFmtId="0" fontId="0" fillId="7" borderId="33" xfId="0" applyFill="1" applyBorder="1"/>
    <xf numFmtId="0" fontId="6" fillId="11" borderId="0" xfId="2" applyFont="1" applyFill="1" applyAlignment="1">
      <alignment horizontal="left" vertical="center"/>
    </xf>
    <xf numFmtId="167" fontId="19" fillId="14" borderId="38" xfId="3" applyNumberFormat="1" applyFont="1" applyFill="1" applyBorder="1" applyAlignment="1">
      <alignment horizontal="left" vertical="center" wrapText="1" indent="1"/>
    </xf>
    <xf numFmtId="167" fontId="20" fillId="13" borderId="38" xfId="1" applyNumberFormat="1" applyFont="1" applyFill="1" applyBorder="1" applyAlignment="1">
      <alignment horizontal="center" vertical="center" wrapText="1"/>
    </xf>
    <xf numFmtId="167" fontId="20" fillId="13" borderId="33" xfId="1" applyNumberFormat="1" applyFont="1" applyFill="1" applyBorder="1" applyAlignment="1">
      <alignment horizontal="center" vertical="center" wrapText="1"/>
    </xf>
    <xf numFmtId="0" fontId="34" fillId="13" borderId="26" xfId="3" applyFont="1" applyFill="1" applyBorder="1" applyAlignment="1">
      <alignment horizontal="left" vertical="center" wrapText="1" indent="1"/>
    </xf>
    <xf numFmtId="0" fontId="34" fillId="13" borderId="21" xfId="3" applyFont="1" applyFill="1" applyBorder="1" applyAlignment="1">
      <alignment horizontal="left" vertical="center" wrapText="1" indent="1"/>
    </xf>
    <xf numFmtId="0" fontId="4" fillId="4" borderId="0" xfId="0" applyFont="1" applyFill="1" applyAlignment="1">
      <alignment horizontal="right"/>
    </xf>
    <xf numFmtId="0" fontId="35" fillId="0" borderId="26" xfId="3" applyFont="1" applyBorder="1" applyAlignment="1">
      <alignment horizontal="left" vertical="center" wrapText="1" indent="1"/>
    </xf>
    <xf numFmtId="0" fontId="35" fillId="0" borderId="42" xfId="3" applyFont="1" applyBorder="1" applyAlignment="1">
      <alignment horizontal="left" vertical="center" wrapText="1" indent="1"/>
    </xf>
    <xf numFmtId="0" fontId="36" fillId="12" borderId="2" xfId="3" applyFont="1" applyFill="1" applyBorder="1" applyAlignment="1">
      <alignment horizontal="left" vertical="center" wrapText="1" indent="1"/>
    </xf>
    <xf numFmtId="0" fontId="35" fillId="12" borderId="7" xfId="3" applyFont="1" applyFill="1" applyBorder="1" applyAlignment="1">
      <alignment horizontal="left" vertical="center" wrapText="1" indent="1"/>
    </xf>
    <xf numFmtId="0" fontId="36" fillId="14" borderId="26" xfId="3" applyFont="1" applyFill="1" applyBorder="1" applyAlignment="1">
      <alignment horizontal="left" vertical="center" wrapText="1" indent="1"/>
    </xf>
    <xf numFmtId="167" fontId="35" fillId="14" borderId="38" xfId="3" applyNumberFormat="1" applyFont="1" applyFill="1" applyBorder="1" applyAlignment="1">
      <alignment horizontal="left" vertical="center" wrapText="1" indent="1"/>
    </xf>
    <xf numFmtId="167" fontId="34" fillId="13" borderId="38" xfId="1" applyNumberFormat="1" applyFont="1" applyFill="1" applyBorder="1" applyAlignment="1">
      <alignment horizontal="center" vertical="center" wrapText="1"/>
    </xf>
    <xf numFmtId="167" fontId="34" fillId="13" borderId="33" xfId="1" applyNumberFormat="1" applyFont="1" applyFill="1" applyBorder="1" applyAlignment="1">
      <alignment horizontal="center" vertical="center" wrapText="1"/>
    </xf>
    <xf numFmtId="166" fontId="9" fillId="11" borderId="15" xfId="3" applyNumberFormat="1" applyFont="1" applyFill="1" applyBorder="1" applyAlignment="1">
      <alignment horizontal="left" vertical="center" indent="1"/>
    </xf>
    <xf numFmtId="0" fontId="0" fillId="7" borderId="0" xfId="0" applyFill="1" applyAlignment="1">
      <alignment vertical="center"/>
    </xf>
    <xf numFmtId="170" fontId="0" fillId="7" borderId="0" xfId="0" applyNumberFormat="1" applyFill="1"/>
    <xf numFmtId="167" fontId="20" fillId="7" borderId="0" xfId="1" applyNumberFormat="1" applyFont="1" applyFill="1" applyBorder="1" applyAlignment="1">
      <alignment horizontal="center" vertical="center" wrapText="1"/>
    </xf>
    <xf numFmtId="0" fontId="26" fillId="0" borderId="32" xfId="3" applyFont="1" applyBorder="1" applyAlignment="1">
      <alignment horizontal="left" vertical="center" wrapText="1" indent="1"/>
    </xf>
    <xf numFmtId="0" fontId="22" fillId="12" borderId="16" xfId="3" applyFont="1" applyFill="1" applyBorder="1" applyAlignment="1">
      <alignment horizontal="left" vertical="center" wrapText="1" indent="1"/>
    </xf>
    <xf numFmtId="0" fontId="19" fillId="12" borderId="16" xfId="3" applyFont="1" applyFill="1" applyBorder="1" applyAlignment="1">
      <alignment horizontal="left" vertical="center" wrapText="1" indent="1"/>
    </xf>
    <xf numFmtId="0" fontId="20" fillId="12" borderId="16" xfId="3" applyFont="1" applyFill="1" applyBorder="1" applyAlignment="1">
      <alignment horizontal="left" vertical="center" wrapText="1" indent="1"/>
    </xf>
    <xf numFmtId="166" fontId="20" fillId="7" borderId="38" xfId="1" applyNumberFormat="1" applyFont="1" applyFill="1" applyBorder="1" applyAlignment="1">
      <alignment horizontal="left" vertical="center" wrapText="1" indent="1"/>
    </xf>
    <xf numFmtId="166" fontId="30" fillId="11" borderId="6" xfId="3" applyNumberFormat="1" applyFont="1" applyFill="1" applyBorder="1" applyAlignment="1">
      <alignment horizontal="left" vertical="center" indent="1"/>
    </xf>
    <xf numFmtId="166" fontId="30" fillId="11" borderId="7" xfId="3" applyNumberFormat="1" applyFont="1" applyFill="1" applyBorder="1" applyAlignment="1">
      <alignment horizontal="left" vertical="center" indent="1"/>
    </xf>
    <xf numFmtId="0" fontId="26" fillId="0" borderId="37" xfId="3" applyFont="1" applyBorder="1" applyAlignment="1">
      <alignment horizontal="left" vertical="center" wrapText="1" indent="1"/>
    </xf>
    <xf numFmtId="167" fontId="19" fillId="0" borderId="32" xfId="1" applyNumberFormat="1" applyFont="1" applyFill="1" applyBorder="1" applyAlignment="1">
      <alignment horizontal="center" vertical="center" wrapText="1"/>
    </xf>
    <xf numFmtId="168" fontId="25" fillId="0" borderId="32" xfId="3" applyNumberFormat="1" applyFont="1" applyBorder="1" applyAlignment="1">
      <alignment horizontal="right" vertical="center" wrapText="1"/>
    </xf>
    <xf numFmtId="168" fontId="25" fillId="0" borderId="33" xfId="3" applyNumberFormat="1" applyFont="1" applyBorder="1" applyAlignment="1">
      <alignment horizontal="right" vertical="center" wrapText="1"/>
    </xf>
    <xf numFmtId="168" fontId="25" fillId="0" borderId="38" xfId="3" applyNumberFormat="1" applyFont="1" applyBorder="1" applyAlignment="1">
      <alignment horizontal="right" vertical="center" wrapText="1"/>
    </xf>
    <xf numFmtId="0" fontId="22" fillId="12" borderId="31" xfId="3" applyFont="1" applyFill="1" applyBorder="1" applyAlignment="1">
      <alignment horizontal="left" vertical="center" wrapText="1" indent="1"/>
    </xf>
    <xf numFmtId="0" fontId="20" fillId="14" borderId="17" xfId="3" applyFont="1" applyFill="1" applyBorder="1" applyAlignment="1">
      <alignment horizontal="left" vertical="center" wrapText="1" indent="1"/>
    </xf>
    <xf numFmtId="0" fontId="20" fillId="14" borderId="16" xfId="3" applyFont="1" applyFill="1" applyBorder="1" applyAlignment="1">
      <alignment horizontal="left" vertical="center" wrapText="1" indent="1"/>
    </xf>
    <xf numFmtId="10" fontId="20" fillId="14" borderId="16" xfId="3" applyNumberFormat="1" applyFont="1" applyFill="1" applyBorder="1" applyAlignment="1">
      <alignment horizontal="center" vertical="center" wrapText="1"/>
    </xf>
    <xf numFmtId="166" fontId="25" fillId="14" borderId="16" xfId="3" applyNumberFormat="1" applyFont="1" applyFill="1" applyBorder="1" applyAlignment="1">
      <alignment horizontal="left" vertical="center" wrapText="1" indent="1"/>
    </xf>
    <xf numFmtId="166" fontId="20" fillId="14" borderId="20" xfId="1" applyNumberFormat="1" applyFont="1" applyFill="1" applyBorder="1" applyAlignment="1">
      <alignment horizontal="left" vertical="center" wrapText="1" indent="1"/>
    </xf>
    <xf numFmtId="0" fontId="40" fillId="12" borderId="17" xfId="3" applyFont="1" applyFill="1" applyBorder="1" applyAlignment="1">
      <alignment horizontal="left" vertical="center" wrapText="1" indent="1"/>
    </xf>
    <xf numFmtId="166" fontId="19" fillId="0" borderId="38" xfId="1" applyNumberFormat="1" applyFont="1" applyFill="1" applyBorder="1" applyAlignment="1">
      <alignment horizontal="left" vertical="center" wrapText="1" indent="1"/>
    </xf>
    <xf numFmtId="10" fontId="20" fillId="0" borderId="32" xfId="3" applyNumberFormat="1" applyFont="1" applyBorder="1" applyAlignment="1">
      <alignment horizontal="center" vertical="center" wrapText="1"/>
    </xf>
    <xf numFmtId="166" fontId="19" fillId="0" borderId="33" xfId="1" applyNumberFormat="1" applyFont="1" applyFill="1" applyBorder="1" applyAlignment="1">
      <alignment horizontal="left" vertical="center" wrapText="1" indent="1"/>
    </xf>
    <xf numFmtId="0" fontId="23" fillId="14" borderId="17" xfId="3" applyFont="1" applyFill="1" applyBorder="1" applyAlignment="1">
      <alignment horizontal="left" vertical="center" wrapText="1" indent="1"/>
    </xf>
    <xf numFmtId="0" fontId="23" fillId="14" borderId="16" xfId="3" applyFont="1" applyFill="1" applyBorder="1" applyAlignment="1">
      <alignment horizontal="left" vertical="center" wrapText="1" indent="1"/>
    </xf>
    <xf numFmtId="0" fontId="40" fillId="5" borderId="31" xfId="3" applyFont="1" applyFill="1" applyBorder="1" applyAlignment="1">
      <alignment horizontal="left" vertical="center" wrapText="1" indent="1"/>
    </xf>
    <xf numFmtId="166" fontId="49" fillId="5" borderId="38" xfId="1" applyNumberFormat="1" applyFont="1" applyFill="1" applyBorder="1" applyAlignment="1">
      <alignment horizontal="left" vertical="center" wrapText="1" indent="1"/>
    </xf>
    <xf numFmtId="0" fontId="40" fillId="5" borderId="37" xfId="3" applyFont="1" applyFill="1" applyBorder="1" applyAlignment="1">
      <alignment horizontal="left" vertical="center" wrapText="1" indent="1"/>
    </xf>
    <xf numFmtId="0" fontId="22" fillId="5" borderId="32" xfId="3" applyFont="1" applyFill="1" applyBorder="1" applyAlignment="1">
      <alignment horizontal="left" vertical="center" wrapText="1" indent="1"/>
    </xf>
    <xf numFmtId="167" fontId="49" fillId="5" borderId="32" xfId="3" applyNumberFormat="1" applyFont="1" applyFill="1" applyBorder="1" applyAlignment="1">
      <alignment horizontal="left" vertical="center" wrapText="1" indent="1"/>
    </xf>
    <xf numFmtId="0" fontId="50" fillId="5" borderId="32" xfId="3" applyFont="1" applyFill="1" applyBorder="1" applyAlignment="1">
      <alignment horizontal="left" vertical="center" wrapText="1" indent="1"/>
    </xf>
    <xf numFmtId="166" fontId="51" fillId="5" borderId="32" xfId="3" applyNumberFormat="1" applyFont="1" applyFill="1" applyBorder="1" applyAlignment="1">
      <alignment horizontal="left" vertical="center" wrapText="1" indent="1"/>
    </xf>
    <xf numFmtId="166" fontId="49" fillId="5" borderId="33" xfId="1" applyNumberFormat="1" applyFont="1" applyFill="1" applyBorder="1" applyAlignment="1">
      <alignment horizontal="left" vertical="center" wrapText="1" indent="1"/>
    </xf>
    <xf numFmtId="167" fontId="52" fillId="7" borderId="0" xfId="1" applyNumberFormat="1" applyFont="1" applyFill="1" applyBorder="1" applyAlignment="1">
      <alignment horizontal="center" vertical="center" wrapText="1"/>
    </xf>
    <xf numFmtId="166" fontId="52" fillId="7" borderId="38" xfId="1" applyNumberFormat="1" applyFont="1" applyFill="1" applyBorder="1" applyAlignment="1">
      <alignment horizontal="left" vertical="center" wrapText="1" indent="1"/>
    </xf>
    <xf numFmtId="167" fontId="53" fillId="0" borderId="0" xfId="0" applyNumberFormat="1" applyFont="1"/>
    <xf numFmtId="0" fontId="53" fillId="0" borderId="0" xfId="0" applyFont="1"/>
    <xf numFmtId="0" fontId="46" fillId="13" borderId="26" xfId="3" applyFont="1" applyFill="1" applyBorder="1" applyAlignment="1">
      <alignment horizontal="left" vertical="center" wrapText="1" indent="1"/>
    </xf>
    <xf numFmtId="167" fontId="46" fillId="13" borderId="38" xfId="1" applyNumberFormat="1" applyFont="1" applyFill="1" applyBorder="1" applyAlignment="1">
      <alignment horizontal="center" vertical="center" wrapText="1"/>
    </xf>
    <xf numFmtId="0" fontId="46" fillId="7" borderId="31" xfId="3" applyFont="1" applyFill="1" applyBorder="1" applyAlignment="1">
      <alignment horizontal="right" vertical="center" wrapText="1" indent="1"/>
    </xf>
    <xf numFmtId="0" fontId="26" fillId="0" borderId="31" xfId="3" applyFont="1" applyBorder="1" applyAlignment="1">
      <alignment horizontal="right" vertical="center" wrapText="1" indent="1"/>
    </xf>
    <xf numFmtId="0" fontId="26" fillId="0" borderId="37" xfId="3" applyFont="1" applyBorder="1" applyAlignment="1">
      <alignment horizontal="right" vertical="center" wrapText="1" indent="1"/>
    </xf>
    <xf numFmtId="0" fontId="26" fillId="0" borderId="32" xfId="3" applyFont="1" applyBorder="1" applyAlignment="1">
      <alignment horizontal="left" vertical="center" wrapText="1"/>
    </xf>
    <xf numFmtId="0" fontId="20" fillId="6" borderId="17" xfId="3" applyFont="1" applyFill="1" applyBorder="1" applyAlignment="1">
      <alignment horizontal="left" vertical="center" wrapText="1" indent="1"/>
    </xf>
    <xf numFmtId="0" fontId="27" fillId="6" borderId="16" xfId="3" applyFont="1" applyFill="1" applyBorder="1" applyAlignment="1">
      <alignment horizontal="left" vertical="center" wrapText="1" indent="1"/>
    </xf>
    <xf numFmtId="0" fontId="20" fillId="6" borderId="16" xfId="3" applyFont="1" applyFill="1" applyBorder="1" applyAlignment="1">
      <alignment horizontal="left" vertical="center" wrapText="1" indent="1"/>
    </xf>
    <xf numFmtId="10" fontId="20" fillId="6" borderId="16" xfId="3" applyNumberFormat="1" applyFont="1" applyFill="1" applyBorder="1" applyAlignment="1">
      <alignment horizontal="center" wrapText="1"/>
    </xf>
    <xf numFmtId="166" fontId="25" fillId="6" borderId="16" xfId="3" applyNumberFormat="1" applyFont="1" applyFill="1" applyBorder="1" applyAlignment="1">
      <alignment horizontal="left" vertical="center" wrapText="1" indent="1"/>
    </xf>
    <xf numFmtId="10" fontId="20" fillId="0" borderId="32" xfId="3" applyNumberFormat="1" applyFont="1" applyBorder="1" applyAlignment="1">
      <alignment horizontal="center" wrapText="1"/>
    </xf>
    <xf numFmtId="171" fontId="55" fillId="12" borderId="16" xfId="0" applyNumberFormat="1" applyFont="1" applyFill="1" applyBorder="1" applyAlignment="1">
      <alignment vertical="center"/>
    </xf>
    <xf numFmtId="166" fontId="25" fillId="12" borderId="16" xfId="3" applyNumberFormat="1" applyFont="1" applyFill="1" applyBorder="1" applyAlignment="1">
      <alignment horizontal="left" vertical="center" wrapText="1" indent="1"/>
    </xf>
    <xf numFmtId="166" fontId="25" fillId="12" borderId="20" xfId="3" applyNumberFormat="1" applyFont="1" applyFill="1" applyBorder="1" applyAlignment="1">
      <alignment horizontal="left" vertical="center" wrapText="1" indent="1"/>
    </xf>
    <xf numFmtId="166" fontId="25" fillId="12" borderId="38" xfId="3" applyNumberFormat="1" applyFont="1" applyFill="1" applyBorder="1" applyAlignment="1">
      <alignment horizontal="left" vertical="center" wrapText="1" indent="1"/>
    </xf>
    <xf numFmtId="168" fontId="33" fillId="0" borderId="32" xfId="3" applyNumberFormat="1" applyFont="1" applyBorder="1" applyAlignment="1">
      <alignment horizontal="center" vertical="center" wrapText="1"/>
    </xf>
    <xf numFmtId="0" fontId="45" fillId="11" borderId="38" xfId="2" applyFont="1" applyFill="1" applyBorder="1" applyAlignment="1">
      <alignment horizontal="center" vertical="center" wrapText="1"/>
    </xf>
    <xf numFmtId="0" fontId="19" fillId="0" borderId="31" xfId="3" applyFont="1" applyBorder="1" applyAlignment="1">
      <alignment horizontal="left" vertical="center" wrapText="1" indent="1"/>
    </xf>
    <xf numFmtId="0" fontId="40" fillId="12" borderId="31" xfId="3" applyFont="1" applyFill="1" applyBorder="1" applyAlignment="1">
      <alignment horizontal="left" vertical="center" wrapText="1" indent="1"/>
    </xf>
    <xf numFmtId="0" fontId="40" fillId="12" borderId="37" xfId="3" applyFont="1" applyFill="1" applyBorder="1" applyAlignment="1">
      <alignment horizontal="left" vertical="center" wrapText="1" indent="1"/>
    </xf>
    <xf numFmtId="0" fontId="22" fillId="12" borderId="32" xfId="3" applyFont="1" applyFill="1" applyBorder="1" applyAlignment="1">
      <alignment horizontal="left" vertical="center" wrapText="1" indent="1"/>
    </xf>
    <xf numFmtId="171" fontId="55" fillId="12" borderId="32" xfId="0" applyNumberFormat="1" applyFont="1" applyFill="1" applyBorder="1" applyAlignment="1">
      <alignment vertical="center"/>
    </xf>
    <xf numFmtId="0" fontId="20" fillId="12" borderId="32" xfId="3" applyFont="1" applyFill="1" applyBorder="1" applyAlignment="1">
      <alignment horizontal="left" vertical="center" wrapText="1" indent="1"/>
    </xf>
    <xf numFmtId="166" fontId="25" fillId="12" borderId="32" xfId="3" applyNumberFormat="1" applyFont="1" applyFill="1" applyBorder="1" applyAlignment="1">
      <alignment horizontal="left" vertical="center" wrapText="1" indent="1"/>
    </xf>
    <xf numFmtId="166" fontId="25" fillId="12" borderId="33" xfId="3" applyNumberFormat="1" applyFont="1" applyFill="1" applyBorder="1" applyAlignment="1">
      <alignment horizontal="left" vertical="center" wrapText="1" indent="1"/>
    </xf>
    <xf numFmtId="0" fontId="13" fillId="0" borderId="0" xfId="0" applyFont="1" applyAlignment="1">
      <alignment horizontal="left" vertical="center"/>
    </xf>
    <xf numFmtId="14" fontId="0" fillId="0" borderId="0" xfId="0" applyNumberFormat="1" applyAlignment="1">
      <alignment horizontal="left"/>
    </xf>
    <xf numFmtId="0" fontId="45" fillId="11" borderId="0" xfId="2" applyFont="1" applyFill="1" applyAlignment="1">
      <alignment horizontal="center" vertical="center" wrapText="1"/>
    </xf>
    <xf numFmtId="0" fontId="20" fillId="0" borderId="0" xfId="3" applyFont="1" applyAlignment="1">
      <alignment horizontal="left" vertical="center" wrapText="1" indent="1"/>
    </xf>
    <xf numFmtId="0" fontId="22" fillId="5" borderId="0" xfId="3" applyFont="1" applyFill="1" applyAlignment="1">
      <alignment horizontal="left" vertical="center" wrapText="1" indent="1"/>
    </xf>
    <xf numFmtId="167" fontId="49" fillId="5" borderId="0" xfId="3" applyNumberFormat="1" applyFont="1" applyFill="1" applyAlignment="1">
      <alignment horizontal="left" vertical="center" wrapText="1" indent="1"/>
    </xf>
    <xf numFmtId="0" fontId="50" fillId="5" borderId="0" xfId="3" applyFont="1" applyFill="1" applyAlignment="1">
      <alignment horizontal="left" vertical="center" wrapText="1" indent="1"/>
    </xf>
    <xf numFmtId="166" fontId="51" fillId="5" borderId="0" xfId="3" applyNumberFormat="1" applyFont="1" applyFill="1" applyAlignment="1">
      <alignment horizontal="left" vertical="center" wrapText="1" indent="1"/>
    </xf>
    <xf numFmtId="0" fontId="20" fillId="7" borderId="0" xfId="3" applyFont="1" applyFill="1" applyAlignment="1">
      <alignment horizontal="left" vertical="center" wrapText="1" indent="1"/>
    </xf>
    <xf numFmtId="168" fontId="41" fillId="7" borderId="0" xfId="3" applyNumberFormat="1" applyFont="1" applyFill="1" applyAlignment="1">
      <alignment horizontal="left" vertical="center" wrapText="1" indent="1"/>
    </xf>
    <xf numFmtId="166" fontId="25" fillId="7" borderId="0" xfId="3" applyNumberFormat="1" applyFont="1" applyFill="1" applyAlignment="1">
      <alignment horizontal="left" vertical="center" wrapText="1" indent="1"/>
    </xf>
    <xf numFmtId="0" fontId="52" fillId="7" borderId="0" xfId="3" applyFont="1" applyFill="1" applyAlignment="1">
      <alignment horizontal="left" vertical="center" wrapText="1" indent="2"/>
    </xf>
    <xf numFmtId="168" fontId="48" fillId="7" borderId="0" xfId="3" applyNumberFormat="1" applyFont="1" applyFill="1" applyAlignment="1">
      <alignment horizontal="left" vertical="center" wrapText="1" indent="1"/>
    </xf>
    <xf numFmtId="166" fontId="54" fillId="7" borderId="0" xfId="3" applyNumberFormat="1" applyFont="1" applyFill="1" applyAlignment="1">
      <alignment horizontal="left" vertical="center" wrapText="1" indent="1"/>
    </xf>
    <xf numFmtId="168" fontId="25" fillId="0" borderId="0" xfId="3" applyNumberFormat="1" applyFont="1" applyAlignment="1">
      <alignment horizontal="center" vertical="center" wrapText="1"/>
    </xf>
    <xf numFmtId="168" fontId="25" fillId="0" borderId="0" xfId="3" applyNumberFormat="1" applyFont="1" applyAlignment="1">
      <alignment horizontal="right" vertical="center" wrapText="1"/>
    </xf>
    <xf numFmtId="0" fontId="22" fillId="12" borderId="0" xfId="3" applyFont="1" applyFill="1" applyAlignment="1">
      <alignment horizontal="left" vertical="center" wrapText="1" indent="1"/>
    </xf>
    <xf numFmtId="0" fontId="19" fillId="12" borderId="0" xfId="3" applyFont="1" applyFill="1" applyAlignment="1">
      <alignment horizontal="left" vertical="center" wrapText="1" indent="1"/>
    </xf>
    <xf numFmtId="0" fontId="20" fillId="12" borderId="0" xfId="3" applyFont="1" applyFill="1" applyAlignment="1">
      <alignment horizontal="left" vertical="center" wrapText="1" indent="1"/>
    </xf>
    <xf numFmtId="166" fontId="25" fillId="12" borderId="0" xfId="3" applyNumberFormat="1" applyFont="1" applyFill="1" applyAlignment="1">
      <alignment horizontal="left" vertical="center" wrapText="1" indent="1"/>
    </xf>
    <xf numFmtId="0" fontId="26" fillId="0" borderId="0" xfId="3" applyFont="1" applyAlignment="1">
      <alignment horizontal="left" vertical="center" wrapText="1"/>
    </xf>
    <xf numFmtId="10" fontId="20" fillId="0" borderId="0" xfId="3" applyNumberFormat="1" applyFont="1" applyAlignment="1">
      <alignment horizontal="center" wrapText="1"/>
    </xf>
    <xf numFmtId="171" fontId="55" fillId="12" borderId="0" xfId="0" applyNumberFormat="1" applyFont="1" applyFill="1" applyAlignment="1">
      <alignment vertical="center"/>
    </xf>
    <xf numFmtId="0" fontId="19" fillId="0" borderId="0" xfId="3" applyFont="1" applyAlignment="1">
      <alignment horizontal="right" vertical="center" wrapText="1" indent="1"/>
    </xf>
    <xf numFmtId="10" fontId="19" fillId="0" borderId="0" xfId="3" applyNumberFormat="1" applyFont="1" applyAlignment="1">
      <alignment horizontal="left" vertical="center" wrapText="1"/>
    </xf>
    <xf numFmtId="0" fontId="56" fillId="0" borderId="0" xfId="0" applyFont="1"/>
    <xf numFmtId="0" fontId="58" fillId="0" borderId="0" xfId="0" applyFont="1" applyAlignment="1">
      <alignment horizontal="left" vertical="center"/>
    </xf>
    <xf numFmtId="0" fontId="16" fillId="10" borderId="0" xfId="5" applyFont="1" applyFill="1" applyAlignment="1">
      <alignment vertical="center"/>
    </xf>
    <xf numFmtId="0" fontId="6" fillId="11" borderId="0" xfId="5" applyFont="1" applyFill="1" applyAlignment="1">
      <alignment horizontal="center" vertical="center" wrapText="1"/>
    </xf>
    <xf numFmtId="0" fontId="45" fillId="11" borderId="0" xfId="5" applyFont="1" applyFill="1" applyAlignment="1">
      <alignment horizontal="center" vertical="center" wrapText="1"/>
    </xf>
    <xf numFmtId="0" fontId="59" fillId="0" borderId="0" xfId="3" applyFont="1" applyAlignment="1">
      <alignment horizontal="left" vertical="center" wrapText="1" indent="1"/>
    </xf>
    <xf numFmtId="166" fontId="19" fillId="0" borderId="0" xfId="6" applyNumberFormat="1" applyFont="1" applyFill="1" applyBorder="1" applyAlignment="1">
      <alignment horizontal="left" vertical="center" wrapText="1" indent="1"/>
    </xf>
    <xf numFmtId="0" fontId="40" fillId="18" borderId="17" xfId="3" applyFont="1" applyFill="1" applyBorder="1" applyAlignment="1">
      <alignment horizontal="left" vertical="center" wrapText="1" indent="1"/>
    </xf>
    <xf numFmtId="0" fontId="22" fillId="18" borderId="16" xfId="3" applyFont="1" applyFill="1" applyBorder="1" applyAlignment="1">
      <alignment horizontal="left" vertical="center" wrapText="1" indent="1"/>
    </xf>
    <xf numFmtId="172" fontId="60" fillId="18" borderId="16" xfId="0" applyNumberFormat="1" applyFont="1" applyFill="1" applyBorder="1" applyAlignment="1">
      <alignment vertical="center"/>
    </xf>
    <xf numFmtId="173" fontId="60" fillId="18" borderId="16" xfId="0" applyNumberFormat="1" applyFont="1" applyFill="1" applyBorder="1" applyAlignment="1">
      <alignment vertical="center"/>
    </xf>
    <xf numFmtId="166" fontId="61" fillId="18" borderId="16" xfId="3" applyNumberFormat="1" applyFont="1" applyFill="1" applyBorder="1" applyAlignment="1">
      <alignment horizontal="left" vertical="center" wrapText="1" indent="1"/>
    </xf>
    <xf numFmtId="166" fontId="61" fillId="18" borderId="20" xfId="3" applyNumberFormat="1" applyFont="1" applyFill="1" applyBorder="1" applyAlignment="1">
      <alignment horizontal="left" vertical="center" wrapText="1" indent="1"/>
    </xf>
    <xf numFmtId="0" fontId="40" fillId="19" borderId="31" xfId="3" applyFont="1" applyFill="1" applyBorder="1" applyAlignment="1">
      <alignment horizontal="left" vertical="center" wrapText="1" indent="1"/>
    </xf>
    <xf numFmtId="166" fontId="62" fillId="19" borderId="38" xfId="6" applyNumberFormat="1" applyFont="1" applyFill="1" applyBorder="1" applyAlignment="1">
      <alignment horizontal="left" vertical="center" wrapText="1" indent="1"/>
    </xf>
    <xf numFmtId="0" fontId="64" fillId="7" borderId="31" xfId="3" applyFont="1" applyFill="1" applyBorder="1" applyAlignment="1">
      <alignment horizontal="right" vertical="center" wrapText="1" indent="1"/>
    </xf>
    <xf numFmtId="0" fontId="64" fillId="7" borderId="0" xfId="3" applyFont="1" applyFill="1" applyAlignment="1">
      <alignment horizontal="left" vertical="center" wrapText="1" indent="1"/>
    </xf>
    <xf numFmtId="167" fontId="64" fillId="7" borderId="0" xfId="6" applyNumberFormat="1" applyFont="1" applyFill="1" applyBorder="1" applyAlignment="1">
      <alignment horizontal="center" vertical="center" wrapText="1"/>
    </xf>
    <xf numFmtId="168" fontId="65" fillId="7" borderId="0" xfId="3" applyNumberFormat="1" applyFont="1" applyFill="1" applyAlignment="1">
      <alignment horizontal="right" vertical="center" wrapText="1" indent="1"/>
    </xf>
    <xf numFmtId="166" fontId="66" fillId="7" borderId="0" xfId="3" applyNumberFormat="1" applyFont="1" applyFill="1" applyAlignment="1">
      <alignment horizontal="left" vertical="center" wrapText="1" indent="1"/>
    </xf>
    <xf numFmtId="0" fontId="64" fillId="7" borderId="37" xfId="3" applyFont="1" applyFill="1" applyBorder="1" applyAlignment="1">
      <alignment horizontal="right" vertical="center" wrapText="1" indent="1"/>
    </xf>
    <xf numFmtId="0" fontId="64" fillId="7" borderId="0" xfId="3" applyFont="1" applyFill="1" applyAlignment="1">
      <alignment horizontal="right" vertical="center" wrapText="1" indent="1"/>
    </xf>
    <xf numFmtId="166" fontId="64" fillId="7" borderId="0" xfId="6" applyNumberFormat="1" applyFont="1" applyFill="1" applyBorder="1" applyAlignment="1">
      <alignment horizontal="left" vertical="center" wrapText="1" indent="1"/>
    </xf>
    <xf numFmtId="0" fontId="23" fillId="20" borderId="17" xfId="3" applyFont="1" applyFill="1" applyBorder="1" applyAlignment="1">
      <alignment horizontal="left" vertical="center" wrapText="1" indent="1"/>
    </xf>
    <xf numFmtId="0" fontId="24" fillId="20" borderId="16" xfId="3" applyFont="1" applyFill="1" applyBorder="1" applyAlignment="1">
      <alignment horizontal="left" vertical="center" wrapText="1" indent="1"/>
    </xf>
    <xf numFmtId="172" fontId="55" fillId="20" borderId="16" xfId="0" applyNumberFormat="1" applyFont="1" applyFill="1" applyBorder="1" applyAlignment="1">
      <alignment vertical="center"/>
    </xf>
    <xf numFmtId="173" fontId="55" fillId="20" borderId="16" xfId="0" applyNumberFormat="1" applyFont="1" applyFill="1" applyBorder="1" applyAlignment="1">
      <alignment vertical="center"/>
    </xf>
    <xf numFmtId="166" fontId="25" fillId="20" borderId="16" xfId="3" applyNumberFormat="1" applyFont="1" applyFill="1" applyBorder="1" applyAlignment="1">
      <alignment horizontal="left" vertical="center" wrapText="1" indent="1"/>
    </xf>
    <xf numFmtId="166" fontId="25" fillId="20" borderId="20" xfId="3" applyNumberFormat="1" applyFont="1" applyFill="1" applyBorder="1" applyAlignment="1">
      <alignment horizontal="left" vertical="center" wrapText="1" indent="1"/>
    </xf>
    <xf numFmtId="166" fontId="19" fillId="0" borderId="38" xfId="6" applyNumberFormat="1" applyFont="1" applyFill="1" applyBorder="1" applyAlignment="1">
      <alignment horizontal="left" vertical="center" wrapText="1" indent="1"/>
    </xf>
    <xf numFmtId="0" fontId="46" fillId="7" borderId="16" xfId="3" applyFont="1" applyFill="1" applyBorder="1" applyAlignment="1">
      <alignment horizontal="right" vertical="center" wrapText="1" indent="1"/>
    </xf>
    <xf numFmtId="0" fontId="19" fillId="7" borderId="16" xfId="3" applyFont="1" applyFill="1" applyBorder="1" applyAlignment="1">
      <alignment horizontal="left" vertical="center" wrapText="1" indent="1"/>
    </xf>
    <xf numFmtId="167" fontId="20" fillId="7" borderId="16" xfId="6" applyNumberFormat="1" applyFont="1" applyFill="1" applyBorder="1" applyAlignment="1">
      <alignment horizontal="center" vertical="center" wrapText="1"/>
    </xf>
    <xf numFmtId="168" fontId="49" fillId="7" borderId="16" xfId="3" applyNumberFormat="1" applyFont="1" applyFill="1" applyBorder="1" applyAlignment="1">
      <alignment horizontal="right" vertical="center" wrapText="1" indent="1"/>
    </xf>
    <xf numFmtId="166" fontId="25" fillId="7" borderId="16" xfId="3" applyNumberFormat="1" applyFont="1" applyFill="1" applyBorder="1" applyAlignment="1">
      <alignment horizontal="left" vertical="center" wrapText="1" indent="1"/>
    </xf>
    <xf numFmtId="166" fontId="20" fillId="7" borderId="16" xfId="6" applyNumberFormat="1" applyFont="1" applyFill="1" applyBorder="1" applyAlignment="1">
      <alignment horizontal="left" vertical="center" wrapText="1" indent="1"/>
    </xf>
    <xf numFmtId="167" fontId="19" fillId="0" borderId="0" xfId="6" applyNumberFormat="1" applyFont="1" applyFill="1" applyBorder="1" applyAlignment="1">
      <alignment horizontal="center" vertical="center" wrapText="1"/>
    </xf>
    <xf numFmtId="168" fontId="68" fillId="0" borderId="0" xfId="3" applyNumberFormat="1" applyFont="1" applyAlignment="1">
      <alignment horizontal="center" vertical="center" wrapText="1"/>
    </xf>
    <xf numFmtId="0" fontId="20" fillId="21" borderId="17" xfId="3" applyFont="1" applyFill="1" applyBorder="1" applyAlignment="1">
      <alignment horizontal="left" vertical="center" wrapText="1" indent="1"/>
    </xf>
    <xf numFmtId="0" fontId="27" fillId="21" borderId="16" xfId="3" applyFont="1" applyFill="1" applyBorder="1" applyAlignment="1">
      <alignment horizontal="left" vertical="center" wrapText="1" indent="1"/>
    </xf>
    <xf numFmtId="0" fontId="20" fillId="21" borderId="16" xfId="3" applyFont="1" applyFill="1" applyBorder="1" applyAlignment="1">
      <alignment horizontal="left" vertical="center" wrapText="1" indent="1"/>
    </xf>
    <xf numFmtId="10" fontId="59" fillId="21" borderId="16" xfId="3" applyNumberFormat="1" applyFont="1" applyFill="1" applyBorder="1" applyAlignment="1">
      <alignment horizontal="center" vertical="center" wrapText="1"/>
    </xf>
    <xf numFmtId="166" fontId="25" fillId="21" borderId="16" xfId="3" applyNumberFormat="1" applyFont="1" applyFill="1" applyBorder="1" applyAlignment="1">
      <alignment horizontal="left" vertical="center" wrapText="1" indent="1"/>
    </xf>
    <xf numFmtId="166" fontId="20" fillId="21" borderId="20" xfId="6" applyNumberFormat="1" applyFont="1" applyFill="1" applyBorder="1" applyAlignment="1">
      <alignment horizontal="left" vertical="center" wrapText="1" indent="1"/>
    </xf>
    <xf numFmtId="10" fontId="59" fillId="0" borderId="0" xfId="3" applyNumberFormat="1" applyFont="1" applyAlignment="1">
      <alignment horizontal="center" vertical="center" wrapText="1"/>
    </xf>
    <xf numFmtId="0" fontId="64" fillId="0" borderId="31" xfId="3" applyFont="1" applyBorder="1" applyAlignment="1">
      <alignment horizontal="right" vertical="center" wrapText="1" indent="1"/>
    </xf>
    <xf numFmtId="0" fontId="28" fillId="0" borderId="0" xfId="3" applyFont="1" applyAlignment="1">
      <alignment horizontal="left" vertical="center" wrapText="1"/>
    </xf>
    <xf numFmtId="10" fontId="59" fillId="0" borderId="0" xfId="4" applyNumberFormat="1" applyFont="1" applyFill="1" applyAlignment="1">
      <alignment horizontal="center" vertical="center" wrapText="1"/>
    </xf>
    <xf numFmtId="10" fontId="59" fillId="0" borderId="32" xfId="3" applyNumberFormat="1" applyFont="1" applyBorder="1" applyAlignment="1">
      <alignment horizontal="center" vertical="center" wrapText="1"/>
    </xf>
    <xf numFmtId="166" fontId="19" fillId="0" borderId="33" xfId="6" applyNumberFormat="1" applyFont="1" applyFill="1" applyBorder="1" applyAlignment="1">
      <alignment horizontal="left" vertical="center" wrapText="1" indent="1"/>
    </xf>
    <xf numFmtId="0" fontId="23" fillId="15" borderId="17" xfId="3" applyFont="1" applyFill="1" applyBorder="1" applyAlignment="1">
      <alignment horizontal="left" vertical="center" wrapText="1" indent="1"/>
    </xf>
    <xf numFmtId="0" fontId="24" fillId="15" borderId="16" xfId="3" applyFont="1" applyFill="1" applyBorder="1" applyAlignment="1">
      <alignment horizontal="left" vertical="center" wrapText="1" indent="1"/>
    </xf>
    <xf numFmtId="0" fontId="20" fillId="15" borderId="16" xfId="3" applyFont="1" applyFill="1" applyBorder="1" applyAlignment="1">
      <alignment horizontal="left" vertical="center" wrapText="1" indent="1"/>
    </xf>
    <xf numFmtId="10" fontId="59" fillId="15" borderId="16" xfId="3" applyNumberFormat="1" applyFont="1" applyFill="1" applyBorder="1" applyAlignment="1">
      <alignment horizontal="center" vertical="center" wrapText="1"/>
    </xf>
    <xf numFmtId="166" fontId="25" fillId="15" borderId="16" xfId="3" applyNumberFormat="1" applyFont="1" applyFill="1" applyBorder="1" applyAlignment="1">
      <alignment horizontal="left" vertical="center" wrapText="1" indent="1"/>
    </xf>
    <xf numFmtId="166" fontId="20" fillId="15" borderId="20" xfId="6" applyNumberFormat="1" applyFont="1" applyFill="1" applyBorder="1" applyAlignment="1">
      <alignment horizontal="left" vertical="center" wrapText="1" indent="1"/>
    </xf>
    <xf numFmtId="175" fontId="0" fillId="0" borderId="0" xfId="4" applyNumberFormat="1" applyFont="1"/>
    <xf numFmtId="166" fontId="20" fillId="0" borderId="0" xfId="6" applyNumberFormat="1" applyFont="1" applyFill="1" applyBorder="1" applyAlignment="1">
      <alignment horizontal="left" vertical="center" wrapText="1" indent="1"/>
    </xf>
    <xf numFmtId="10" fontId="59" fillId="6" borderId="16" xfId="3" applyNumberFormat="1" applyFont="1" applyFill="1" applyBorder="1" applyAlignment="1">
      <alignment horizontal="center" wrapText="1"/>
    </xf>
    <xf numFmtId="166" fontId="20" fillId="14" borderId="20" xfId="6" applyNumberFormat="1" applyFont="1" applyFill="1" applyBorder="1" applyAlignment="1">
      <alignment horizontal="left" vertical="center" wrapText="1" indent="1"/>
    </xf>
    <xf numFmtId="0" fontId="69" fillId="7" borderId="0" xfId="0" applyFont="1" applyFill="1" applyAlignment="1">
      <alignment vertical="center"/>
    </xf>
    <xf numFmtId="10" fontId="59" fillId="0" borderId="0" xfId="3" applyNumberFormat="1" applyFont="1" applyAlignment="1">
      <alignment horizontal="center" wrapText="1"/>
    </xf>
    <xf numFmtId="176" fontId="69" fillId="7" borderId="0" xfId="0" applyNumberFormat="1" applyFont="1" applyFill="1" applyAlignment="1">
      <alignment vertical="center"/>
    </xf>
    <xf numFmtId="10" fontId="59" fillId="0" borderId="32" xfId="3" applyNumberFormat="1" applyFont="1" applyBorder="1" applyAlignment="1">
      <alignment horizontal="center" wrapText="1"/>
    </xf>
    <xf numFmtId="10" fontId="70" fillId="0" borderId="32" xfId="3" applyNumberFormat="1" applyFont="1" applyBorder="1" applyAlignment="1">
      <alignment horizontal="left" vertical="center" wrapText="1" indent="1"/>
    </xf>
    <xf numFmtId="166" fontId="19" fillId="0" borderId="32" xfId="6" applyNumberFormat="1" applyFont="1" applyFill="1" applyBorder="1" applyAlignment="1">
      <alignment horizontal="left" vertical="center" wrapText="1" indent="1"/>
    </xf>
    <xf numFmtId="166" fontId="72" fillId="11" borderId="15" xfId="3" applyNumberFormat="1" applyFont="1" applyFill="1" applyBorder="1" applyAlignment="1">
      <alignment horizontal="left" vertical="center" indent="1"/>
    </xf>
    <xf numFmtId="0" fontId="69" fillId="7" borderId="16" xfId="0" applyFont="1" applyFill="1" applyBorder="1" applyAlignment="1">
      <alignment vertical="center"/>
    </xf>
    <xf numFmtId="177" fontId="73" fillId="7" borderId="17" xfId="0" applyNumberFormat="1" applyFont="1" applyFill="1" applyBorder="1" applyAlignment="1">
      <alignment vertical="center"/>
    </xf>
    <xf numFmtId="177" fontId="73" fillId="7" borderId="20" xfId="7" applyNumberFormat="1" applyFont="1" applyFill="1" applyBorder="1" applyAlignment="1">
      <alignment vertical="center"/>
    </xf>
    <xf numFmtId="178" fontId="69" fillId="7" borderId="33" xfId="0" applyNumberFormat="1" applyFont="1" applyFill="1" applyBorder="1" applyAlignment="1">
      <alignment vertical="center"/>
    </xf>
    <xf numFmtId="173" fontId="56" fillId="0" borderId="0" xfId="0" applyNumberFormat="1" applyFont="1"/>
    <xf numFmtId="0" fontId="40" fillId="19" borderId="0" xfId="3" applyFont="1" applyFill="1" applyAlignment="1">
      <alignment horizontal="left" vertical="center" wrapText="1" indent="1"/>
    </xf>
    <xf numFmtId="172" fontId="62" fillId="19" borderId="0" xfId="3" applyNumberFormat="1" applyFont="1" applyFill="1" applyAlignment="1">
      <alignment horizontal="right" vertical="center" wrapText="1" indent="1"/>
    </xf>
    <xf numFmtId="174" fontId="62" fillId="19" borderId="0" xfId="3" applyNumberFormat="1" applyFont="1" applyFill="1" applyAlignment="1">
      <alignment horizontal="right" vertical="center" wrapText="1" indent="1"/>
    </xf>
    <xf numFmtId="166" fontId="63" fillId="19" borderId="0" xfId="3" applyNumberFormat="1" applyFont="1" applyFill="1" applyAlignment="1">
      <alignment horizontal="left" vertical="center" wrapText="1" indent="1"/>
    </xf>
    <xf numFmtId="0" fontId="40" fillId="19" borderId="37" xfId="3" applyFont="1" applyFill="1" applyBorder="1" applyAlignment="1">
      <alignment horizontal="left" vertical="center" wrapText="1" indent="1"/>
    </xf>
    <xf numFmtId="0" fontId="40" fillId="19" borderId="32" xfId="3" applyFont="1" applyFill="1" applyBorder="1" applyAlignment="1">
      <alignment horizontal="left" vertical="center" wrapText="1" indent="1"/>
    </xf>
    <xf numFmtId="172" fontId="62" fillId="19" borderId="32" xfId="3" applyNumberFormat="1" applyFont="1" applyFill="1" applyBorder="1" applyAlignment="1">
      <alignment horizontal="right" vertical="center" wrapText="1" indent="1"/>
    </xf>
    <xf numFmtId="174" fontId="62" fillId="19" borderId="32" xfId="3" applyNumberFormat="1" applyFont="1" applyFill="1" applyBorder="1" applyAlignment="1">
      <alignment horizontal="right" vertical="center" wrapText="1" indent="1"/>
    </xf>
    <xf numFmtId="166" fontId="63" fillId="19" borderId="32" xfId="3" applyNumberFormat="1" applyFont="1" applyFill="1" applyBorder="1" applyAlignment="1">
      <alignment horizontal="left" vertical="center" wrapText="1" indent="1"/>
    </xf>
    <xf numFmtId="166" fontId="62" fillId="19" borderId="33" xfId="6" applyNumberFormat="1" applyFont="1" applyFill="1" applyBorder="1" applyAlignment="1">
      <alignment horizontal="left" vertical="center" wrapText="1" indent="1"/>
    </xf>
    <xf numFmtId="172" fontId="19" fillId="0" borderId="0" xfId="3" applyNumberFormat="1" applyFont="1" applyAlignment="1">
      <alignment horizontal="left" vertical="center" wrapText="1" indent="1"/>
    </xf>
    <xf numFmtId="0" fontId="74" fillId="0" borderId="0" xfId="0" applyFont="1"/>
    <xf numFmtId="166" fontId="74" fillId="0" borderId="0" xfId="0" applyNumberFormat="1" applyFont="1"/>
    <xf numFmtId="179" fontId="0" fillId="0" borderId="0" xfId="8" applyNumberFormat="1" applyFont="1"/>
    <xf numFmtId="179" fontId="0" fillId="0" borderId="0" xfId="0" applyNumberFormat="1"/>
    <xf numFmtId="0" fontId="74" fillId="22" borderId="5" xfId="0" applyFont="1" applyFill="1" applyBorder="1"/>
    <xf numFmtId="166" fontId="74" fillId="22" borderId="6" xfId="0" applyNumberFormat="1" applyFont="1" applyFill="1" applyBorder="1"/>
    <xf numFmtId="0" fontId="74" fillId="22" borderId="6" xfId="0" applyFont="1" applyFill="1" applyBorder="1"/>
    <xf numFmtId="0" fontId="0" fillId="22" borderId="7" xfId="0" applyFill="1" applyBorder="1"/>
    <xf numFmtId="0" fontId="74" fillId="23" borderId="5" xfId="0" applyFont="1" applyFill="1" applyBorder="1"/>
    <xf numFmtId="166" fontId="74" fillId="23" borderId="6" xfId="0" applyNumberFormat="1" applyFont="1" applyFill="1" applyBorder="1"/>
    <xf numFmtId="0" fontId="74" fillId="23" borderId="6" xfId="0" applyFont="1" applyFill="1" applyBorder="1"/>
    <xf numFmtId="0" fontId="0" fillId="23" borderId="7" xfId="0" applyFill="1" applyBorder="1"/>
    <xf numFmtId="164" fontId="20" fillId="0" borderId="0" xfId="3" applyNumberFormat="1" applyFont="1" applyAlignment="1">
      <alignment horizontal="center" vertical="center" wrapText="1"/>
    </xf>
    <xf numFmtId="0" fontId="76" fillId="24" borderId="17" xfId="3" applyFont="1" applyFill="1" applyBorder="1" applyAlignment="1">
      <alignment horizontal="left" vertical="center" wrapText="1" indent="1"/>
    </xf>
    <xf numFmtId="0" fontId="77" fillId="24" borderId="16" xfId="3" applyFont="1" applyFill="1" applyBorder="1" applyAlignment="1">
      <alignment horizontal="left" vertical="center" wrapText="1" indent="1"/>
    </xf>
    <xf numFmtId="172" fontId="78" fillId="24" borderId="16" xfId="0" applyNumberFormat="1" applyFont="1" applyFill="1" applyBorder="1" applyAlignment="1">
      <alignment vertical="center"/>
    </xf>
    <xf numFmtId="173" fontId="78" fillId="24" borderId="16" xfId="0" applyNumberFormat="1" applyFont="1" applyFill="1" applyBorder="1" applyAlignment="1">
      <alignment vertical="center"/>
    </xf>
    <xf numFmtId="166" fontId="30" fillId="24" borderId="16" xfId="3" applyNumberFormat="1" applyFont="1" applyFill="1" applyBorder="1" applyAlignment="1">
      <alignment horizontal="left" vertical="center" wrapText="1" indent="1"/>
    </xf>
    <xf numFmtId="166" fontId="30" fillId="24" borderId="20" xfId="3" applyNumberFormat="1" applyFont="1" applyFill="1" applyBorder="1" applyAlignment="1">
      <alignment horizontal="left" vertical="center" wrapText="1" indent="1"/>
    </xf>
    <xf numFmtId="0" fontId="76" fillId="25" borderId="31" xfId="3" applyFont="1" applyFill="1" applyBorder="1" applyAlignment="1">
      <alignment horizontal="left" vertical="center" wrapText="1" indent="1"/>
    </xf>
    <xf numFmtId="166" fontId="30" fillId="25" borderId="38" xfId="3" applyNumberFormat="1" applyFont="1" applyFill="1" applyBorder="1" applyAlignment="1">
      <alignment horizontal="left" vertical="center" wrapText="1" indent="1"/>
    </xf>
    <xf numFmtId="0" fontId="79" fillId="19" borderId="31" xfId="3" applyFont="1" applyFill="1" applyBorder="1" applyAlignment="1">
      <alignment horizontal="left" vertical="center" wrapText="1" indent="2"/>
    </xf>
    <xf numFmtId="166" fontId="79" fillId="19" borderId="38" xfId="6" applyNumberFormat="1" applyFont="1" applyFill="1" applyBorder="1" applyAlignment="1">
      <alignment horizontal="left" vertical="center" wrapText="1" indent="2"/>
    </xf>
    <xf numFmtId="0" fontId="76" fillId="25" borderId="37" xfId="3" applyFont="1" applyFill="1" applyBorder="1" applyAlignment="1">
      <alignment horizontal="left" vertical="center" wrapText="1" indent="1"/>
    </xf>
    <xf numFmtId="0" fontId="77" fillId="25" borderId="32" xfId="3" applyFont="1" applyFill="1" applyBorder="1" applyAlignment="1">
      <alignment horizontal="left" vertical="center" wrapText="1" indent="1"/>
    </xf>
    <xf numFmtId="172" fontId="78" fillId="25" borderId="32" xfId="0" applyNumberFormat="1" applyFont="1" applyFill="1" applyBorder="1" applyAlignment="1">
      <alignment vertical="center"/>
    </xf>
    <xf numFmtId="166" fontId="30" fillId="25" borderId="32" xfId="3" applyNumberFormat="1" applyFont="1" applyFill="1" applyBorder="1" applyAlignment="1">
      <alignment horizontal="left" vertical="center" wrapText="1" indent="1"/>
    </xf>
    <xf numFmtId="166" fontId="30" fillId="25" borderId="33" xfId="3" applyNumberFormat="1" applyFont="1" applyFill="1" applyBorder="1" applyAlignment="1">
      <alignment horizontal="left" vertical="center" wrapText="1" indent="1"/>
    </xf>
    <xf numFmtId="172" fontId="80" fillId="0" borderId="0" xfId="3" applyNumberFormat="1" applyFont="1" applyAlignment="1">
      <alignment horizontal="left" vertical="center" wrapText="1" indent="1"/>
    </xf>
    <xf numFmtId="164" fontId="80" fillId="0" borderId="0" xfId="3" applyNumberFormat="1" applyFont="1" applyAlignment="1">
      <alignment horizontal="center" vertical="center" wrapText="1"/>
    </xf>
    <xf numFmtId="173" fontId="81" fillId="25" borderId="32" xfId="0" applyNumberFormat="1" applyFont="1" applyFill="1" applyBorder="1" applyAlignment="1">
      <alignment vertical="center"/>
    </xf>
    <xf numFmtId="0" fontId="23" fillId="15" borderId="53" xfId="3" applyFont="1" applyFill="1" applyBorder="1" applyAlignment="1">
      <alignment horizontal="left" vertical="center" wrapText="1" indent="1"/>
    </xf>
    <xf numFmtId="0" fontId="24" fillId="15" borderId="24" xfId="3" applyFont="1" applyFill="1" applyBorder="1" applyAlignment="1">
      <alignment horizontal="left" vertical="center" wrapText="1" indent="1"/>
    </xf>
    <xf numFmtId="0" fontId="20" fillId="15" borderId="24" xfId="3" applyFont="1" applyFill="1" applyBorder="1" applyAlignment="1">
      <alignment horizontal="left" vertical="center" wrapText="1" indent="1"/>
    </xf>
    <xf numFmtId="10" fontId="59" fillId="15" borderId="24" xfId="3" applyNumberFormat="1" applyFont="1" applyFill="1" applyBorder="1" applyAlignment="1">
      <alignment horizontal="center" vertical="center" wrapText="1"/>
    </xf>
    <xf numFmtId="166" fontId="25" fillId="15" borderId="24" xfId="3" applyNumberFormat="1" applyFont="1" applyFill="1" applyBorder="1" applyAlignment="1">
      <alignment horizontal="left" vertical="center" wrapText="1" indent="1"/>
    </xf>
    <xf numFmtId="166" fontId="20" fillId="15" borderId="54" xfId="6" applyNumberFormat="1" applyFont="1" applyFill="1" applyBorder="1" applyAlignment="1">
      <alignment horizontal="left" vertical="center" wrapText="1" indent="1"/>
    </xf>
    <xf numFmtId="0" fontId="64" fillId="7" borderId="44" xfId="3" applyFont="1" applyFill="1" applyBorder="1" applyAlignment="1">
      <alignment horizontal="right" vertical="center" wrapText="1" indent="1"/>
    </xf>
    <xf numFmtId="166" fontId="19" fillId="0" borderId="42" xfId="6" applyNumberFormat="1" applyFont="1" applyFill="1" applyBorder="1" applyAlignment="1">
      <alignment horizontal="left" vertical="center" wrapText="1" indent="1"/>
    </xf>
    <xf numFmtId="0" fontId="64" fillId="7" borderId="51" xfId="3" applyFont="1" applyFill="1" applyBorder="1" applyAlignment="1">
      <alignment horizontal="right" vertical="center" wrapText="1" indent="1"/>
    </xf>
    <xf numFmtId="0" fontId="26" fillId="0" borderId="29" xfId="3" applyFont="1" applyBorder="1" applyAlignment="1">
      <alignment horizontal="left" vertical="center" wrapText="1"/>
    </xf>
    <xf numFmtId="0" fontId="19" fillId="0" borderId="29" xfId="3" applyFont="1" applyBorder="1" applyAlignment="1">
      <alignment horizontal="left" vertical="center" wrapText="1" indent="1"/>
    </xf>
    <xf numFmtId="10" fontId="59" fillId="0" borderId="29" xfId="3" applyNumberFormat="1" applyFont="1" applyBorder="1" applyAlignment="1">
      <alignment horizontal="center" vertical="center" wrapText="1"/>
    </xf>
    <xf numFmtId="166" fontId="21" fillId="0" borderId="29" xfId="3" applyNumberFormat="1" applyFont="1" applyBorder="1" applyAlignment="1">
      <alignment horizontal="left" vertical="center" wrapText="1" indent="1"/>
    </xf>
    <xf numFmtId="166" fontId="19" fillId="0" borderId="50" xfId="6" applyNumberFormat="1" applyFont="1" applyFill="1" applyBorder="1" applyAlignment="1">
      <alignment horizontal="left" vertical="center" wrapText="1" indent="1"/>
    </xf>
    <xf numFmtId="0" fontId="77" fillId="25" borderId="0" xfId="3" applyFont="1" applyFill="1" applyAlignment="1">
      <alignment horizontal="left" vertical="center" wrapText="1" indent="1"/>
    </xf>
    <xf numFmtId="172" fontId="78" fillId="25" borderId="0" xfId="0" applyNumberFormat="1" applyFont="1" applyFill="1" applyAlignment="1">
      <alignment vertical="center"/>
    </xf>
    <xf numFmtId="173" fontId="81" fillId="25" borderId="0" xfId="0" applyNumberFormat="1" applyFont="1" applyFill="1" applyAlignment="1">
      <alignment vertical="center"/>
    </xf>
    <xf numFmtId="166" fontId="30" fillId="25" borderId="0" xfId="3" applyNumberFormat="1" applyFont="1" applyFill="1" applyAlignment="1">
      <alignment horizontal="left" vertical="center" wrapText="1" indent="1"/>
    </xf>
    <xf numFmtId="172" fontId="79" fillId="19" borderId="0" xfId="3" applyNumberFormat="1" applyFont="1" applyFill="1" applyAlignment="1">
      <alignment horizontal="left" vertical="center" wrapText="1" indent="2"/>
    </xf>
    <xf numFmtId="166" fontId="79" fillId="19" borderId="0" xfId="3" applyNumberFormat="1" applyFont="1" applyFill="1" applyAlignment="1">
      <alignment horizontal="left" vertical="center" wrapText="1" indent="2"/>
    </xf>
    <xf numFmtId="174" fontId="79" fillId="19" borderId="0" xfId="3" applyNumberFormat="1" applyFont="1" applyFill="1" applyAlignment="1">
      <alignment horizontal="left" vertical="center" wrapText="1" indent="2"/>
    </xf>
    <xf numFmtId="0" fontId="79" fillId="19" borderId="0" xfId="3" applyFont="1" applyFill="1" applyAlignment="1">
      <alignment horizontal="left" vertical="center" wrapText="1" indent="2"/>
    </xf>
    <xf numFmtId="173" fontId="78" fillId="25" borderId="0" xfId="0" applyNumberFormat="1" applyFont="1" applyFill="1" applyAlignment="1">
      <alignment vertical="center"/>
    </xf>
    <xf numFmtId="0" fontId="79" fillId="19" borderId="37" xfId="3" applyFont="1" applyFill="1" applyBorder="1" applyAlignment="1">
      <alignment horizontal="left" vertical="center" wrapText="1" indent="2"/>
    </xf>
    <xf numFmtId="0" fontId="79" fillId="19" borderId="32" xfId="3" applyFont="1" applyFill="1" applyBorder="1" applyAlignment="1">
      <alignment horizontal="left" vertical="center" wrapText="1" indent="2"/>
    </xf>
    <xf numFmtId="172" fontId="79" fillId="19" borderId="32" xfId="3" applyNumberFormat="1" applyFont="1" applyFill="1" applyBorder="1" applyAlignment="1">
      <alignment horizontal="left" vertical="center" wrapText="1" indent="2"/>
    </xf>
    <xf numFmtId="174" fontId="79" fillId="19" borderId="32" xfId="3" applyNumberFormat="1" applyFont="1" applyFill="1" applyBorder="1" applyAlignment="1">
      <alignment horizontal="left" vertical="center" wrapText="1" indent="2"/>
    </xf>
    <xf numFmtId="166" fontId="79" fillId="19" borderId="32" xfId="3" applyNumberFormat="1" applyFont="1" applyFill="1" applyBorder="1" applyAlignment="1">
      <alignment horizontal="left" vertical="center" wrapText="1" indent="2"/>
    </xf>
    <xf numFmtId="166" fontId="79" fillId="19" borderId="33" xfId="6" applyNumberFormat="1" applyFont="1" applyFill="1" applyBorder="1" applyAlignment="1">
      <alignment horizontal="left" vertical="center" wrapText="1" indent="2"/>
    </xf>
    <xf numFmtId="172" fontId="0" fillId="0" borderId="0" xfId="0" applyNumberFormat="1"/>
    <xf numFmtId="0" fontId="30" fillId="25" borderId="38" xfId="3" applyFont="1" applyFill="1" applyBorder="1" applyAlignment="1">
      <alignment horizontal="left" vertical="center" wrapText="1" indent="1"/>
    </xf>
    <xf numFmtId="166" fontId="82" fillId="0" borderId="0" xfId="3" applyNumberFormat="1" applyFont="1" applyAlignment="1">
      <alignment horizontal="left" vertical="center" wrapText="1" indent="1"/>
    </xf>
    <xf numFmtId="166" fontId="51" fillId="0" borderId="0" xfId="3" applyNumberFormat="1" applyFont="1" applyAlignment="1">
      <alignment horizontal="left" vertical="center" wrapText="1" indent="1"/>
    </xf>
    <xf numFmtId="166" fontId="56" fillId="0" borderId="0" xfId="0" applyNumberFormat="1" applyFont="1"/>
    <xf numFmtId="0" fontId="84" fillId="0" borderId="0" xfId="10" applyFont="1"/>
    <xf numFmtId="180" fontId="84" fillId="0" borderId="37" xfId="10" applyNumberFormat="1" applyFont="1" applyBorder="1"/>
    <xf numFmtId="180" fontId="84" fillId="0" borderId="32" xfId="10" applyNumberFormat="1" applyFont="1" applyBorder="1"/>
    <xf numFmtId="180" fontId="84" fillId="0" borderId="52" xfId="10" applyNumberFormat="1" applyFont="1" applyBorder="1"/>
    <xf numFmtId="180" fontId="84" fillId="0" borderId="25" xfId="10" applyNumberFormat="1" applyFont="1" applyBorder="1"/>
    <xf numFmtId="180" fontId="84" fillId="0" borderId="33" xfId="10" applyNumberFormat="1" applyFont="1" applyBorder="1"/>
    <xf numFmtId="0" fontId="85" fillId="0" borderId="0" xfId="10" applyFont="1"/>
    <xf numFmtId="0" fontId="84" fillId="0" borderId="53" xfId="10" applyFont="1" applyBorder="1"/>
    <xf numFmtId="0" fontId="83" fillId="0" borderId="39" xfId="10" applyFont="1" applyBorder="1"/>
    <xf numFmtId="0" fontId="15" fillId="0" borderId="8" xfId="10" applyFont="1" applyBorder="1"/>
    <xf numFmtId="181" fontId="84" fillId="0" borderId="57" xfId="10" applyNumberFormat="1" applyFont="1" applyBorder="1"/>
    <xf numFmtId="0" fontId="83" fillId="4" borderId="59" xfId="10" applyFont="1" applyFill="1" applyBorder="1"/>
    <xf numFmtId="0" fontId="83" fillId="4" borderId="57" xfId="10" applyFont="1" applyFill="1" applyBorder="1"/>
    <xf numFmtId="0" fontId="83" fillId="0" borderId="60" xfId="10" applyFont="1" applyBorder="1"/>
    <xf numFmtId="0" fontId="83" fillId="0" borderId="57" xfId="10" applyFont="1" applyBorder="1"/>
    <xf numFmtId="0" fontId="83" fillId="0" borderId="61" xfId="10" applyFont="1" applyBorder="1"/>
    <xf numFmtId="0" fontId="83" fillId="0" borderId="9" xfId="10" applyFont="1" applyBorder="1"/>
    <xf numFmtId="0" fontId="15" fillId="0" borderId="10" xfId="10" applyFont="1" applyBorder="1"/>
    <xf numFmtId="181" fontId="84" fillId="0" borderId="51" xfId="10" applyNumberFormat="1" applyFont="1" applyBorder="1"/>
    <xf numFmtId="0" fontId="84" fillId="0" borderId="44" xfId="10" applyFont="1" applyBorder="1"/>
    <xf numFmtId="0" fontId="84" fillId="0" borderId="62" xfId="10" applyFont="1" applyBorder="1"/>
    <xf numFmtId="0" fontId="84" fillId="0" borderId="49" xfId="10" applyFont="1" applyBorder="1"/>
    <xf numFmtId="0" fontId="84" fillId="0" borderId="64" xfId="10" applyFont="1" applyBorder="1"/>
    <xf numFmtId="0" fontId="84" fillId="0" borderId="56" xfId="10" applyFont="1" applyBorder="1"/>
    <xf numFmtId="181" fontId="84" fillId="0" borderId="65" xfId="10" applyNumberFormat="1" applyFont="1" applyBorder="1"/>
    <xf numFmtId="0" fontId="84" fillId="0" borderId="66" xfId="10" applyFont="1" applyBorder="1"/>
    <xf numFmtId="0" fontId="84" fillId="0" borderId="24" xfId="10" applyFont="1" applyBorder="1"/>
    <xf numFmtId="0" fontId="84" fillId="27" borderId="63" xfId="10" applyFont="1" applyFill="1" applyBorder="1"/>
    <xf numFmtId="0" fontId="84" fillId="27" borderId="55" xfId="10" applyFont="1" applyFill="1" applyBorder="1"/>
    <xf numFmtId="0" fontId="84" fillId="0" borderId="55" xfId="10" applyFont="1" applyBorder="1"/>
    <xf numFmtId="0" fontId="84" fillId="0" borderId="67" xfId="10" applyFont="1" applyBorder="1"/>
    <xf numFmtId="0" fontId="84" fillId="0" borderId="11" xfId="10" applyFont="1" applyBorder="1"/>
    <xf numFmtId="0" fontId="84" fillId="0" borderId="68" xfId="10" applyFont="1" applyBorder="1"/>
    <xf numFmtId="0" fontId="84" fillId="5" borderId="63" xfId="10" applyFont="1" applyFill="1" applyBorder="1"/>
    <xf numFmtId="0" fontId="84" fillId="5" borderId="55" xfId="10" applyFont="1" applyFill="1" applyBorder="1"/>
    <xf numFmtId="0" fontId="15" fillId="0" borderId="18" xfId="10" applyFont="1" applyBorder="1"/>
    <xf numFmtId="181" fontId="84" fillId="0" borderId="69" xfId="10" applyNumberFormat="1" applyFont="1" applyBorder="1"/>
    <xf numFmtId="0" fontId="84" fillId="0" borderId="25" xfId="10" applyFont="1" applyBorder="1"/>
    <xf numFmtId="0" fontId="84" fillId="0" borderId="32" xfId="10" applyFont="1" applyBorder="1"/>
    <xf numFmtId="0" fontId="84" fillId="0" borderId="70" xfId="10" applyFont="1" applyBorder="1"/>
    <xf numFmtId="0" fontId="84" fillId="0" borderId="71" xfId="10" applyFont="1" applyBorder="1"/>
    <xf numFmtId="0" fontId="84" fillId="0" borderId="32" xfId="10" applyFont="1" applyBorder="1" applyAlignment="1">
      <alignment horizontal="center"/>
    </xf>
    <xf numFmtId="0" fontId="84" fillId="0" borderId="48" xfId="10" applyFont="1" applyBorder="1"/>
    <xf numFmtId="0" fontId="84" fillId="28" borderId="47" xfId="10" applyFont="1" applyFill="1" applyBorder="1"/>
    <xf numFmtId="0" fontId="84" fillId="28" borderId="46" xfId="10" applyFont="1" applyFill="1" applyBorder="1"/>
    <xf numFmtId="0" fontId="84" fillId="28" borderId="72" xfId="10" applyFont="1" applyFill="1" applyBorder="1"/>
    <xf numFmtId="0" fontId="84" fillId="0" borderId="46" xfId="10" applyFont="1" applyBorder="1"/>
    <xf numFmtId="0" fontId="84" fillId="0" borderId="19" xfId="10" applyFont="1" applyBorder="1"/>
    <xf numFmtId="0" fontId="15" fillId="0" borderId="0" xfId="10" applyFont="1" applyAlignment="1">
      <alignment horizontal="right"/>
    </xf>
    <xf numFmtId="181" fontId="84" fillId="0" borderId="0" xfId="10" applyNumberFormat="1" applyFont="1"/>
    <xf numFmtId="0" fontId="84" fillId="0" borderId="0" xfId="10" applyFont="1" applyAlignment="1">
      <alignment horizontal="center"/>
    </xf>
    <xf numFmtId="0" fontId="84" fillId="0" borderId="73" xfId="10" applyFont="1" applyBorder="1"/>
    <xf numFmtId="0" fontId="84" fillId="0" borderId="2" xfId="10" applyFont="1" applyBorder="1" applyAlignment="1">
      <alignment horizontal="right"/>
    </xf>
    <xf numFmtId="181" fontId="15" fillId="0" borderId="3" xfId="10" applyNumberFormat="1" applyFont="1" applyBorder="1" applyAlignment="1">
      <alignment horizontal="right"/>
    </xf>
    <xf numFmtId="0" fontId="84" fillId="8" borderId="14" xfId="10" applyFont="1" applyFill="1" applyBorder="1"/>
    <xf numFmtId="0" fontId="84" fillId="8" borderId="74" xfId="10" applyFont="1" applyFill="1" applyBorder="1"/>
    <xf numFmtId="0" fontId="84" fillId="7" borderId="14" xfId="10" applyFont="1" applyFill="1" applyBorder="1"/>
    <xf numFmtId="0" fontId="84" fillId="0" borderId="4" xfId="10" applyFont="1" applyBorder="1"/>
    <xf numFmtId="0" fontId="83" fillId="0" borderId="75" xfId="10" applyFont="1" applyBorder="1"/>
    <xf numFmtId="0" fontId="83" fillId="0" borderId="76" xfId="10" applyFont="1" applyBorder="1"/>
    <xf numFmtId="0" fontId="84" fillId="0" borderId="77" xfId="10" applyFont="1" applyBorder="1"/>
    <xf numFmtId="0" fontId="84" fillId="7" borderId="4" xfId="10" applyFont="1" applyFill="1" applyBorder="1"/>
    <xf numFmtId="182" fontId="0" fillId="0" borderId="0" xfId="0" applyNumberFormat="1"/>
    <xf numFmtId="0" fontId="88" fillId="0" borderId="78" xfId="0" applyFont="1" applyBorder="1" applyAlignment="1">
      <alignment horizontal="center"/>
    </xf>
    <xf numFmtId="182" fontId="87" fillId="9" borderId="81" xfId="0" applyNumberFormat="1" applyFont="1" applyFill="1" applyBorder="1" applyAlignment="1">
      <alignment horizontal="center" vertical="center"/>
    </xf>
    <xf numFmtId="2" fontId="87" fillId="9" borderId="82" xfId="0" applyNumberFormat="1" applyFont="1" applyFill="1" applyBorder="1" applyAlignment="1">
      <alignment horizontal="center" vertical="center"/>
    </xf>
    <xf numFmtId="0" fontId="89" fillId="9" borderId="83" xfId="0" applyFont="1" applyFill="1" applyBorder="1" applyAlignment="1">
      <alignment horizontal="right" vertical="center"/>
    </xf>
    <xf numFmtId="0" fontId="90" fillId="7" borderId="0" xfId="0" applyFont="1" applyFill="1" applyAlignment="1">
      <alignment horizontal="left" vertical="center" wrapText="1"/>
    </xf>
    <xf numFmtId="0" fontId="88" fillId="7" borderId="0" xfId="0" applyFont="1" applyFill="1" applyAlignment="1">
      <alignment horizontal="center" vertical="center"/>
    </xf>
    <xf numFmtId="0" fontId="91" fillId="7" borderId="0" xfId="0" applyFont="1" applyFill="1" applyAlignment="1">
      <alignment horizontal="center" vertical="center"/>
    </xf>
    <xf numFmtId="0" fontId="88" fillId="9" borderId="84" xfId="0" applyFont="1" applyFill="1" applyBorder="1" applyAlignment="1">
      <alignment horizontal="center" vertical="center"/>
    </xf>
    <xf numFmtId="0" fontId="90" fillId="3" borderId="84" xfId="0" applyFont="1" applyFill="1" applyBorder="1" applyAlignment="1">
      <alignment horizontal="center" vertical="center"/>
    </xf>
    <xf numFmtId="0" fontId="90" fillId="3" borderId="85" xfId="0" applyFont="1" applyFill="1" applyBorder="1"/>
    <xf numFmtId="0" fontId="92" fillId="9" borderId="86" xfId="0" applyFont="1" applyFill="1" applyBorder="1" applyAlignment="1">
      <alignment horizontal="center" vertical="center"/>
    </xf>
    <xf numFmtId="0" fontId="92" fillId="9" borderId="87" xfId="0" applyFont="1" applyFill="1" applyBorder="1"/>
    <xf numFmtId="0" fontId="88" fillId="9" borderId="88" xfId="0" applyFont="1" applyFill="1" applyBorder="1" applyAlignment="1">
      <alignment horizontal="center" vertical="center"/>
    </xf>
    <xf numFmtId="0" fontId="90" fillId="3" borderId="86" xfId="0" applyFont="1" applyFill="1" applyBorder="1" applyAlignment="1">
      <alignment horizontal="center" vertical="center"/>
    </xf>
    <xf numFmtId="0" fontId="90" fillId="3" borderId="87" xfId="0" applyFont="1" applyFill="1" applyBorder="1"/>
    <xf numFmtId="0" fontId="92" fillId="9" borderId="89" xfId="0" applyFont="1" applyFill="1" applyBorder="1" applyAlignment="1">
      <alignment horizontal="center" vertical="center"/>
    </xf>
    <xf numFmtId="0" fontId="92" fillId="9" borderId="90" xfId="0" applyFont="1" applyFill="1" applyBorder="1"/>
    <xf numFmtId="0" fontId="90" fillId="3" borderId="91" xfId="0" applyFont="1" applyFill="1" applyBorder="1" applyAlignment="1">
      <alignment horizontal="center" vertical="center"/>
    </xf>
    <xf numFmtId="0" fontId="90" fillId="3" borderId="92" xfId="0" applyFont="1" applyFill="1" applyBorder="1"/>
    <xf numFmtId="0" fontId="93" fillId="9" borderId="81" xfId="0" applyFont="1" applyFill="1" applyBorder="1" applyAlignment="1">
      <alignment horizontal="center" vertical="center" wrapText="1"/>
    </xf>
    <xf numFmtId="0" fontId="93" fillId="9" borderId="82" xfId="0" applyFont="1" applyFill="1" applyBorder="1" applyAlignment="1">
      <alignment horizontal="center" vertical="center"/>
    </xf>
    <xf numFmtId="0" fontId="93" fillId="9" borderId="82" xfId="0" applyFont="1" applyFill="1" applyBorder="1" applyAlignment="1">
      <alignment horizontal="center" vertical="center" wrapText="1"/>
    </xf>
    <xf numFmtId="0" fontId="93" fillId="9" borderId="83" xfId="0" applyFont="1" applyFill="1" applyBorder="1" applyAlignment="1">
      <alignment horizontal="center" vertical="center"/>
    </xf>
    <xf numFmtId="0" fontId="87" fillId="9" borderId="82" xfId="0" applyFont="1" applyFill="1" applyBorder="1" applyAlignment="1">
      <alignment horizontal="center" vertical="center"/>
    </xf>
    <xf numFmtId="0" fontId="90" fillId="29" borderId="91" xfId="0" applyFont="1" applyFill="1" applyBorder="1" applyAlignment="1">
      <alignment horizontal="center" vertical="center"/>
    </xf>
    <xf numFmtId="1" fontId="87" fillId="9" borderId="82" xfId="0" applyNumberFormat="1" applyFont="1" applyFill="1" applyBorder="1" applyAlignment="1">
      <alignment horizontal="center" vertical="center"/>
    </xf>
    <xf numFmtId="1" fontId="90" fillId="29" borderId="91" xfId="0" applyNumberFormat="1" applyFont="1" applyFill="1" applyBorder="1" applyAlignment="1">
      <alignment horizontal="center" vertical="center"/>
    </xf>
    <xf numFmtId="0" fontId="90" fillId="29" borderId="92" xfId="0" applyFont="1" applyFill="1" applyBorder="1"/>
    <xf numFmtId="0" fontId="88" fillId="9" borderId="93" xfId="0" applyFont="1" applyFill="1" applyBorder="1" applyAlignment="1">
      <alignment horizontal="center" vertical="center"/>
    </xf>
    <xf numFmtId="1" fontId="90" fillId="29" borderId="94" xfId="0" applyNumberFormat="1" applyFont="1" applyFill="1" applyBorder="1" applyAlignment="1">
      <alignment horizontal="center" vertical="center"/>
    </xf>
    <xf numFmtId="0" fontId="90" fillId="29" borderId="84" xfId="0" applyFont="1" applyFill="1" applyBorder="1"/>
    <xf numFmtId="1" fontId="90" fillId="29" borderId="86" xfId="0" applyNumberFormat="1" applyFont="1" applyFill="1" applyBorder="1" applyAlignment="1">
      <alignment horizontal="center" vertical="center"/>
    </xf>
    <xf numFmtId="0" fontId="90" fillId="29" borderId="87" xfId="0" applyFont="1" applyFill="1" applyBorder="1"/>
    <xf numFmtId="1" fontId="92" fillId="9" borderId="86" xfId="0" applyNumberFormat="1" applyFont="1" applyFill="1" applyBorder="1" applyAlignment="1">
      <alignment horizontal="center" vertical="center"/>
    </xf>
    <xf numFmtId="1" fontId="88" fillId="0" borderId="78" xfId="0" applyNumberFormat="1" applyFont="1" applyBorder="1" applyAlignment="1">
      <alignment horizontal="center"/>
    </xf>
    <xf numFmtId="1" fontId="90" fillId="29" borderId="87" xfId="0" applyNumberFormat="1" applyFont="1" applyFill="1" applyBorder="1"/>
    <xf numFmtId="0" fontId="0" fillId="0" borderId="15" xfId="0" applyBorder="1"/>
    <xf numFmtId="182" fontId="0" fillId="0" borderId="15" xfId="0" applyNumberFormat="1" applyBorder="1"/>
    <xf numFmtId="0" fontId="0" fillId="7" borderId="15" xfId="0" applyFill="1" applyBorder="1"/>
    <xf numFmtId="0" fontId="84" fillId="0" borderId="0" xfId="10" applyFont="1" applyBorder="1"/>
    <xf numFmtId="0" fontId="84" fillId="26" borderId="55" xfId="10" applyFont="1" applyFill="1" applyBorder="1"/>
    <xf numFmtId="0" fontId="83" fillId="4" borderId="58" xfId="10" applyFont="1" applyFill="1" applyBorder="1"/>
    <xf numFmtId="0" fontId="84" fillId="0" borderId="31" xfId="10" applyFont="1" applyBorder="1"/>
    <xf numFmtId="0" fontId="84" fillId="0" borderId="37" xfId="10" applyFont="1" applyBorder="1"/>
    <xf numFmtId="181" fontId="84" fillId="0" borderId="9" xfId="10" applyNumberFormat="1" applyFont="1" applyBorder="1"/>
    <xf numFmtId="181" fontId="84" fillId="0" borderId="11" xfId="10" applyNumberFormat="1" applyFont="1" applyBorder="1"/>
    <xf numFmtId="181" fontId="84" fillId="0" borderId="19" xfId="10" applyNumberFormat="1" applyFont="1" applyBorder="1"/>
    <xf numFmtId="3" fontId="67" fillId="3" borderId="5" xfId="3" applyNumberFormat="1" applyFont="1" applyFill="1" applyBorder="1" applyAlignment="1">
      <alignment horizontal="right" vertical="center" wrapText="1"/>
    </xf>
    <xf numFmtId="3" fontId="67" fillId="3" borderId="6" xfId="3" applyNumberFormat="1" applyFont="1" applyFill="1" applyBorder="1" applyAlignment="1">
      <alignment horizontal="right" vertical="center" wrapText="1"/>
    </xf>
    <xf numFmtId="3" fontId="71" fillId="4" borderId="5" xfId="3" applyNumberFormat="1" applyFont="1" applyFill="1" applyBorder="1" applyAlignment="1">
      <alignment horizontal="right" vertical="center" indent="2"/>
    </xf>
    <xf numFmtId="3" fontId="71" fillId="4" borderId="6" xfId="3" applyNumberFormat="1" applyFont="1" applyFill="1" applyBorder="1" applyAlignment="1">
      <alignment horizontal="right" vertical="center" indent="2"/>
    </xf>
    <xf numFmtId="3" fontId="71" fillId="4" borderId="7" xfId="3" applyNumberFormat="1" applyFont="1" applyFill="1" applyBorder="1" applyAlignment="1">
      <alignment horizontal="right" vertical="center" indent="2"/>
    </xf>
    <xf numFmtId="0" fontId="57" fillId="0" borderId="0" xfId="0" applyFont="1" applyAlignment="1">
      <alignment horizontal="left" vertical="center"/>
    </xf>
    <xf numFmtId="0" fontId="6" fillId="11" borderId="0" xfId="5" applyFont="1" applyFill="1" applyAlignment="1">
      <alignment horizontal="left" vertical="center" indent="8"/>
    </xf>
    <xf numFmtId="0" fontId="84" fillId="0" borderId="17" xfId="10" applyFont="1" applyBorder="1" applyAlignment="1">
      <alignment horizontal="center"/>
    </xf>
    <xf numFmtId="0" fontId="84" fillId="0" borderId="16" xfId="10" applyFont="1" applyBorder="1" applyAlignment="1">
      <alignment horizontal="center"/>
    </xf>
    <xf numFmtId="0" fontId="84" fillId="0" borderId="35" xfId="10" applyFont="1" applyBorder="1" applyAlignment="1">
      <alignment horizontal="center"/>
    </xf>
    <xf numFmtId="0" fontId="84" fillId="0" borderId="43" xfId="10" applyFont="1" applyBorder="1" applyAlignment="1">
      <alignment horizontal="center"/>
    </xf>
    <xf numFmtId="0" fontId="84" fillId="0" borderId="20" xfId="10" applyFont="1" applyBorder="1" applyAlignment="1">
      <alignment horizontal="center"/>
    </xf>
    <xf numFmtId="0" fontId="88" fillId="0" borderId="80" xfId="0" applyFont="1" applyBorder="1" applyAlignment="1">
      <alignment horizontal="center"/>
    </xf>
    <xf numFmtId="0" fontId="43" fillId="0" borderId="79" xfId="0" applyFont="1" applyBorder="1" applyAlignment="1">
      <alignment horizontal="center"/>
    </xf>
    <xf numFmtId="0" fontId="91" fillId="7" borderId="0" xfId="0" applyFont="1" applyFill="1" applyAlignment="1">
      <alignment horizontal="center" vertical="center"/>
    </xf>
    <xf numFmtId="0" fontId="88" fillId="7" borderId="0" xfId="0" applyFont="1" applyFill="1" applyAlignment="1">
      <alignment horizontal="center" vertical="center"/>
    </xf>
    <xf numFmtId="0" fontId="11" fillId="0" borderId="0" xfId="0" applyFont="1" applyAlignment="1">
      <alignment horizontal="left" vertical="center"/>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9" fillId="4" borderId="2" xfId="0" applyFont="1" applyFill="1" applyBorder="1" applyAlignment="1">
      <alignment horizontal="right" vertical="center"/>
    </xf>
    <xf numFmtId="0" fontId="9" fillId="4" borderId="3" xfId="0" applyFont="1" applyFill="1" applyBorder="1" applyAlignment="1">
      <alignment horizontal="right" vertical="center"/>
    </xf>
    <xf numFmtId="0" fontId="9" fillId="4" borderId="4" xfId="0" applyFont="1" applyFill="1" applyBorder="1" applyAlignment="1">
      <alignment horizontal="right" vertical="center"/>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10" fillId="8" borderId="5" xfId="0" applyFont="1" applyFill="1" applyBorder="1" applyAlignment="1">
      <alignment horizontal="right" vertical="center"/>
    </xf>
    <xf numFmtId="0" fontId="10" fillId="8" borderId="6" xfId="0" applyFont="1" applyFill="1" applyBorder="1" applyAlignment="1">
      <alignment horizontal="right" vertical="center"/>
    </xf>
    <xf numFmtId="0" fontId="10" fillId="8" borderId="7" xfId="0" applyFont="1" applyFill="1" applyBorder="1" applyAlignment="1">
      <alignment horizontal="right" vertical="center"/>
    </xf>
    <xf numFmtId="0" fontId="7" fillId="2" borderId="5" xfId="0" applyFont="1" applyFill="1" applyBorder="1" applyAlignment="1">
      <alignment horizontal="center" vertical="center"/>
    </xf>
    <xf numFmtId="0" fontId="7" fillId="2" borderId="7" xfId="0" applyFont="1" applyFill="1" applyBorder="1" applyAlignment="1">
      <alignment horizontal="center"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3" borderId="17" xfId="0" applyFont="1" applyFill="1" applyBorder="1" applyAlignment="1">
      <alignment horizontal="left" vertical="center"/>
    </xf>
    <xf numFmtId="0" fontId="8" fillId="3" borderId="16" xfId="0" applyFont="1" applyFill="1" applyBorder="1" applyAlignment="1">
      <alignment horizontal="left" vertical="center"/>
    </xf>
    <xf numFmtId="0" fontId="8" fillId="3" borderId="20" xfId="0" applyFont="1" applyFill="1" applyBorder="1" applyAlignment="1">
      <alignment horizontal="left" vertical="center"/>
    </xf>
    <xf numFmtId="0" fontId="3" fillId="16" borderId="12" xfId="0" applyFont="1" applyFill="1" applyBorder="1" applyAlignment="1">
      <alignment horizontal="left" vertical="center" wrapText="1"/>
    </xf>
    <xf numFmtId="0" fontId="3" fillId="16" borderId="1" xfId="0" applyFont="1" applyFill="1" applyBorder="1" applyAlignment="1">
      <alignment horizontal="left" vertical="center" wrapText="1"/>
    </xf>
    <xf numFmtId="0" fontId="5" fillId="16" borderId="12" xfId="0" applyFont="1" applyFill="1" applyBorder="1" applyAlignment="1">
      <alignment horizontal="center" vertical="center"/>
    </xf>
    <xf numFmtId="0" fontId="5" fillId="16" borderId="13" xfId="0" applyFont="1" applyFill="1" applyBorder="1" applyAlignment="1">
      <alignment horizontal="center" vertical="center"/>
    </xf>
    <xf numFmtId="0" fontId="8" fillId="3" borderId="5" xfId="0" applyFont="1" applyFill="1" applyBorder="1" applyAlignment="1">
      <alignment horizontal="left" vertical="center"/>
    </xf>
    <xf numFmtId="0" fontId="8" fillId="3" borderId="6" xfId="0" applyFont="1" applyFill="1" applyBorder="1" applyAlignment="1">
      <alignment horizontal="left" vertical="center"/>
    </xf>
    <xf numFmtId="0" fontId="8" fillId="3" borderId="7" xfId="0" applyFont="1" applyFill="1" applyBorder="1" applyAlignment="1">
      <alignment horizontal="left" vertical="center"/>
    </xf>
    <xf numFmtId="0" fontId="4" fillId="0" borderId="2" xfId="0" applyFont="1" applyBorder="1" applyAlignment="1">
      <alignment horizontal="center"/>
    </xf>
    <xf numFmtId="0" fontId="4" fillId="0" borderId="14" xfId="0" applyFont="1" applyBorder="1" applyAlignment="1">
      <alignment horizontal="center"/>
    </xf>
    <xf numFmtId="0" fontId="4" fillId="0" borderId="4" xfId="0" applyFont="1" applyBorder="1" applyAlignment="1">
      <alignment horizontal="center"/>
    </xf>
    <xf numFmtId="0" fontId="3" fillId="15" borderId="12" xfId="0" applyFont="1" applyFill="1" applyBorder="1" applyAlignment="1">
      <alignment horizontal="left" vertical="center" wrapText="1"/>
    </xf>
    <xf numFmtId="0" fontId="3" fillId="15" borderId="1" xfId="0" applyFont="1" applyFill="1" applyBorder="1" applyAlignment="1">
      <alignment horizontal="left" vertical="center" wrapText="1"/>
    </xf>
    <xf numFmtId="0" fontId="5" fillId="15" borderId="12" xfId="0" applyFont="1" applyFill="1" applyBorder="1" applyAlignment="1">
      <alignment horizontal="center" vertical="center"/>
    </xf>
    <xf numFmtId="0" fontId="5" fillId="15" borderId="13" xfId="0" applyFont="1" applyFill="1" applyBorder="1" applyAlignment="1">
      <alignment horizontal="center" vertical="center"/>
    </xf>
    <xf numFmtId="0" fontId="4" fillId="0" borderId="21" xfId="0" applyFont="1" applyBorder="1" applyAlignment="1">
      <alignment horizontal="center"/>
    </xf>
    <xf numFmtId="0" fontId="4" fillId="0" borderId="25" xfId="0" applyFont="1" applyBorder="1" applyAlignment="1">
      <alignment horizontal="center"/>
    </xf>
    <xf numFmtId="0" fontId="4" fillId="0" borderId="23" xfId="0" applyFont="1" applyBorder="1" applyAlignment="1">
      <alignment horizontal="center"/>
    </xf>
    <xf numFmtId="0" fontId="5" fillId="0" borderId="12" xfId="0" applyFont="1" applyBorder="1" applyAlignment="1">
      <alignment horizontal="center" vertical="center" wrapText="1"/>
    </xf>
    <xf numFmtId="0" fontId="7" fillId="9" borderId="5" xfId="0" applyFont="1" applyFill="1" applyBorder="1" applyAlignment="1">
      <alignment horizontal="center" vertical="center"/>
    </xf>
    <xf numFmtId="0" fontId="7" fillId="9" borderId="6" xfId="0" applyFont="1" applyFill="1" applyBorder="1" applyAlignment="1">
      <alignment horizontal="center" vertical="center"/>
    </xf>
    <xf numFmtId="0" fontId="7" fillId="9" borderId="7" xfId="0" applyFont="1" applyFill="1" applyBorder="1" applyAlignment="1">
      <alignment horizontal="center" vertical="center"/>
    </xf>
    <xf numFmtId="0" fontId="3" fillId="15" borderId="28" xfId="0" applyFont="1" applyFill="1" applyBorder="1" applyAlignment="1">
      <alignment horizontal="left" vertical="center" wrapText="1"/>
    </xf>
    <xf numFmtId="0" fontId="3" fillId="15" borderId="29" xfId="0" applyFont="1" applyFill="1" applyBorder="1" applyAlignment="1">
      <alignment horizontal="left" vertical="center" wrapText="1"/>
    </xf>
    <xf numFmtId="0" fontId="5" fillId="15" borderId="28" xfId="0" applyFont="1" applyFill="1" applyBorder="1" applyAlignment="1">
      <alignment horizontal="center" vertical="center"/>
    </xf>
    <xf numFmtId="0" fontId="5" fillId="15" borderId="30" xfId="0" applyFont="1" applyFill="1" applyBorder="1" applyAlignment="1">
      <alignment horizontal="center" vertical="center"/>
    </xf>
    <xf numFmtId="0" fontId="0" fillId="0" borderId="51" xfId="0" applyBorder="1" applyAlignment="1">
      <alignment horizontal="left" wrapText="1"/>
    </xf>
    <xf numFmtId="0" fontId="0" fillId="0" borderId="29" xfId="0" applyBorder="1" applyAlignment="1">
      <alignment horizontal="left" wrapText="1"/>
    </xf>
    <xf numFmtId="0" fontId="0" fillId="0" borderId="50" xfId="0" applyBorder="1" applyAlignment="1">
      <alignment horizontal="left" wrapText="1"/>
    </xf>
    <xf numFmtId="0" fontId="40" fillId="0" borderId="53" xfId="0" applyFont="1" applyBorder="1" applyAlignment="1">
      <alignment horizontal="left" vertical="center"/>
    </xf>
    <xf numFmtId="0" fontId="40" fillId="0" borderId="24" xfId="0" applyFont="1" applyBorder="1" applyAlignment="1">
      <alignment horizontal="left" vertical="center"/>
    </xf>
    <xf numFmtId="0" fontId="40" fillId="0" borderId="54" xfId="0" applyFont="1" applyBorder="1" applyAlignment="1">
      <alignment horizontal="left" vertical="center"/>
    </xf>
    <xf numFmtId="0" fontId="13" fillId="0" borderId="0" xfId="0" applyFont="1" applyAlignment="1">
      <alignment horizontal="left" vertical="center"/>
    </xf>
    <xf numFmtId="3" fontId="20" fillId="12" borderId="5" xfId="3" applyNumberFormat="1" applyFont="1" applyFill="1" applyBorder="1" applyAlignment="1">
      <alignment horizontal="right" vertical="center" wrapText="1"/>
    </xf>
    <xf numFmtId="3" fontId="20" fillId="12" borderId="6" xfId="3" applyNumberFormat="1" applyFont="1" applyFill="1" applyBorder="1" applyAlignment="1">
      <alignment horizontal="right" vertical="center" wrapText="1"/>
    </xf>
    <xf numFmtId="3" fontId="20" fillId="12" borderId="5" xfId="3" applyNumberFormat="1" applyFont="1" applyFill="1" applyBorder="1" applyAlignment="1">
      <alignment horizontal="right" vertical="center" wrapText="1" indent="2"/>
    </xf>
    <xf numFmtId="3" fontId="20" fillId="12" borderId="6" xfId="3" applyNumberFormat="1" applyFont="1" applyFill="1" applyBorder="1" applyAlignment="1">
      <alignment horizontal="right" vertical="center" wrapText="1" indent="2"/>
    </xf>
    <xf numFmtId="3" fontId="20" fillId="12" borderId="7" xfId="3" applyNumberFormat="1" applyFont="1" applyFill="1" applyBorder="1" applyAlignment="1">
      <alignment horizontal="right" vertical="center" wrapText="1" indent="2"/>
    </xf>
    <xf numFmtId="0" fontId="0" fillId="0" borderId="51" xfId="0" applyBorder="1" applyAlignment="1">
      <alignment horizontal="left" vertical="top" wrapText="1"/>
    </xf>
    <xf numFmtId="0" fontId="0" fillId="0" borderId="29" xfId="0" applyBorder="1" applyAlignment="1">
      <alignment horizontal="left" vertical="top" wrapText="1"/>
    </xf>
    <xf numFmtId="0" fontId="0" fillId="0" borderId="50" xfId="0" applyBorder="1" applyAlignment="1">
      <alignment horizontal="left" vertical="top" wrapText="1"/>
    </xf>
    <xf numFmtId="0" fontId="6" fillId="11" borderId="31" xfId="2" applyFont="1" applyFill="1" applyBorder="1" applyAlignment="1">
      <alignment horizontal="left" vertical="center" indent="8"/>
    </xf>
    <xf numFmtId="0" fontId="6" fillId="11" borderId="0" xfId="2" applyFont="1" applyFill="1" applyAlignment="1">
      <alignment horizontal="left" vertical="center" indent="8"/>
    </xf>
    <xf numFmtId="3" fontId="29" fillId="4" borderId="5" xfId="3" applyNumberFormat="1" applyFont="1" applyFill="1" applyBorder="1" applyAlignment="1">
      <alignment horizontal="right" vertical="center" indent="2"/>
    </xf>
    <xf numFmtId="3" fontId="29" fillId="4" borderId="6" xfId="3" applyNumberFormat="1" applyFont="1" applyFill="1" applyBorder="1" applyAlignment="1">
      <alignment horizontal="right" vertical="center" indent="2"/>
    </xf>
    <xf numFmtId="3" fontId="29" fillId="4" borderId="7" xfId="3" applyNumberFormat="1" applyFont="1" applyFill="1" applyBorder="1" applyAlignment="1">
      <alignment horizontal="right" vertical="center" indent="2"/>
    </xf>
    <xf numFmtId="0" fontId="0" fillId="0" borderId="0" xfId="0" applyAlignment="1">
      <alignment horizontal="left" vertical="top" wrapText="1"/>
    </xf>
    <xf numFmtId="0" fontId="42" fillId="0" borderId="53" xfId="0" applyFont="1" applyBorder="1" applyAlignment="1">
      <alignment horizontal="left" wrapText="1"/>
    </xf>
    <xf numFmtId="0" fontId="42" fillId="0" borderId="24" xfId="0" applyFont="1" applyBorder="1" applyAlignment="1">
      <alignment horizontal="left" wrapText="1"/>
    </xf>
    <xf numFmtId="0" fontId="42" fillId="0" borderId="54" xfId="0" applyFont="1" applyBorder="1" applyAlignment="1">
      <alignment horizontal="left" wrapText="1"/>
    </xf>
    <xf numFmtId="0" fontId="0" fillId="0" borderId="0" xfId="0" applyAlignment="1">
      <alignment horizontal="left" wrapText="1"/>
    </xf>
    <xf numFmtId="3" fontId="20" fillId="12" borderId="5" xfId="3" applyNumberFormat="1" applyFont="1" applyFill="1" applyBorder="1" applyAlignment="1">
      <alignment vertical="center" wrapText="1"/>
    </xf>
    <xf numFmtId="3" fontId="20" fillId="12" borderId="6" xfId="3" applyNumberFormat="1" applyFont="1" applyFill="1" applyBorder="1" applyAlignment="1">
      <alignment vertical="center" wrapText="1"/>
    </xf>
    <xf numFmtId="3" fontId="20" fillId="12" borderId="7" xfId="3" applyNumberFormat="1" applyFont="1" applyFill="1" applyBorder="1" applyAlignment="1">
      <alignment vertical="center" wrapText="1"/>
    </xf>
    <xf numFmtId="3" fontId="29" fillId="4" borderId="5" xfId="3" applyNumberFormat="1" applyFont="1" applyFill="1" applyBorder="1" applyAlignment="1">
      <alignment horizontal="right" vertical="center" indent="1"/>
    </xf>
    <xf numFmtId="3" fontId="29" fillId="4" borderId="6" xfId="3" applyNumberFormat="1" applyFont="1" applyFill="1" applyBorder="1" applyAlignment="1">
      <alignment horizontal="right" vertical="center" indent="1"/>
    </xf>
    <xf numFmtId="3" fontId="29" fillId="4" borderId="7" xfId="3" applyNumberFormat="1" applyFont="1" applyFill="1" applyBorder="1" applyAlignment="1">
      <alignment horizontal="right" vertical="center" indent="1"/>
    </xf>
    <xf numFmtId="0" fontId="13" fillId="7" borderId="0" xfId="0" applyFont="1" applyFill="1" applyAlignment="1">
      <alignment horizontal="left" vertical="center"/>
    </xf>
  </cellXfs>
  <cellStyles count="12">
    <cellStyle name="Milliers" xfId="1" builtinId="3"/>
    <cellStyle name="Milliers 2" xfId="6"/>
    <cellStyle name="Monétaire" xfId="8" builtinId="4"/>
    <cellStyle name="Monétaire 2" xfId="7"/>
    <cellStyle name="Normal" xfId="0" builtinId="0"/>
    <cellStyle name="Normal 2" xfId="3"/>
    <cellStyle name="Normal 2 2" xfId="11"/>
    <cellStyle name="Normal 3" xfId="2"/>
    <cellStyle name="Normal 3 2" xfId="5"/>
    <cellStyle name="Normal 3 2 2" xfId="9"/>
    <cellStyle name="Normal 4" xfId="10"/>
    <cellStyle name="Pourcentage" xfId="4" builtinId="5"/>
  </cellStyles>
  <dxfs count="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C082E6"/>
      <color rgb="FFE09CE0"/>
      <color rgb="FF102D5D"/>
      <color rgb="FFFF2600"/>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6</xdr:col>
      <xdr:colOff>1622778</xdr:colOff>
      <xdr:row>1</xdr:row>
      <xdr:rowOff>42332</xdr:rowOff>
    </xdr:from>
    <xdr:ext cx="1709138" cy="755796"/>
    <xdr:pic>
      <xdr:nvPicPr>
        <xdr:cNvPr id="2" name="Image 1">
          <a:extLst>
            <a:ext uri="{FF2B5EF4-FFF2-40B4-BE49-F238E27FC236}">
              <a16:creationId xmlns:a16="http://schemas.microsoft.com/office/drawing/2014/main" id="{C2AE8AD3-2F8D-4B27-ACC6-BDAA02CC4D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76128" y="226482"/>
          <a:ext cx="1709138" cy="75579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1622778</xdr:colOff>
      <xdr:row>1</xdr:row>
      <xdr:rowOff>42332</xdr:rowOff>
    </xdr:from>
    <xdr:ext cx="1709138" cy="755796"/>
    <xdr:pic>
      <xdr:nvPicPr>
        <xdr:cNvPr id="2" name="Image 1">
          <a:extLst>
            <a:ext uri="{FF2B5EF4-FFF2-40B4-BE49-F238E27FC236}">
              <a16:creationId xmlns:a16="http://schemas.microsoft.com/office/drawing/2014/main" id="{4741531D-A7B1-F24C-AA12-8A29319692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58778" y="232832"/>
          <a:ext cx="1709138" cy="75579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6</xdr:col>
      <xdr:colOff>1622778</xdr:colOff>
      <xdr:row>1</xdr:row>
      <xdr:rowOff>42332</xdr:rowOff>
    </xdr:from>
    <xdr:ext cx="1709138" cy="755796"/>
    <xdr:pic>
      <xdr:nvPicPr>
        <xdr:cNvPr id="2" name="Image 1">
          <a:extLst>
            <a:ext uri="{FF2B5EF4-FFF2-40B4-BE49-F238E27FC236}">
              <a16:creationId xmlns:a16="http://schemas.microsoft.com/office/drawing/2014/main" id="{B7F5E948-49BE-F64E-8DA3-8C18274CE0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58778" y="232832"/>
          <a:ext cx="1709138" cy="75579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6</xdr:col>
      <xdr:colOff>1622778</xdr:colOff>
      <xdr:row>1</xdr:row>
      <xdr:rowOff>42332</xdr:rowOff>
    </xdr:from>
    <xdr:ext cx="1709138" cy="755796"/>
    <xdr:pic>
      <xdr:nvPicPr>
        <xdr:cNvPr id="2" name="Image 1">
          <a:extLst>
            <a:ext uri="{FF2B5EF4-FFF2-40B4-BE49-F238E27FC236}">
              <a16:creationId xmlns:a16="http://schemas.microsoft.com/office/drawing/2014/main" id="{D13EBAA7-8D64-CA49-9109-0D96D24CBA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58778" y="232832"/>
          <a:ext cx="1709138" cy="75579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6</xdr:col>
      <xdr:colOff>1536700</xdr:colOff>
      <xdr:row>2</xdr:row>
      <xdr:rowOff>69850</xdr:rowOff>
    </xdr:from>
    <xdr:to>
      <xdr:col>7</xdr:col>
      <xdr:colOff>1474295</xdr:colOff>
      <xdr:row>3</xdr:row>
      <xdr:rowOff>10805</xdr:rowOff>
    </xdr:to>
    <xdr:pic>
      <xdr:nvPicPr>
        <xdr:cNvPr id="2" name="Picture 16">
          <a:extLst>
            <a:ext uri="{FF2B5EF4-FFF2-40B4-BE49-F238E27FC236}">
              <a16:creationId xmlns:a16="http://schemas.microsoft.com/office/drawing/2014/main" id="{71E79104-1E0C-8542-BB92-247329B5D9E8}"/>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69500" y="463550"/>
          <a:ext cx="1677494" cy="506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1536700</xdr:colOff>
      <xdr:row>2</xdr:row>
      <xdr:rowOff>69850</xdr:rowOff>
    </xdr:from>
    <xdr:to>
      <xdr:col>6</xdr:col>
      <xdr:colOff>1474294</xdr:colOff>
      <xdr:row>3</xdr:row>
      <xdr:rowOff>4455</xdr:rowOff>
    </xdr:to>
    <xdr:pic>
      <xdr:nvPicPr>
        <xdr:cNvPr id="2" name="Picture 16">
          <a:extLst>
            <a:ext uri="{FF2B5EF4-FFF2-40B4-BE49-F238E27FC236}">
              <a16:creationId xmlns:a16="http://schemas.microsoft.com/office/drawing/2014/main" id="{48CCC1F9-C986-41EF-A382-61E32204A4E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36000" y="444500"/>
          <a:ext cx="1531444" cy="506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1346200</xdr:colOff>
      <xdr:row>1</xdr:row>
      <xdr:rowOff>19050</xdr:rowOff>
    </xdr:from>
    <xdr:to>
      <xdr:col>7</xdr:col>
      <xdr:colOff>7444</xdr:colOff>
      <xdr:row>3</xdr:row>
      <xdr:rowOff>151130</xdr:rowOff>
    </xdr:to>
    <xdr:pic>
      <xdr:nvPicPr>
        <xdr:cNvPr id="3" name="Picture 16">
          <a:extLst>
            <a:ext uri="{FF2B5EF4-FFF2-40B4-BE49-F238E27FC236}">
              <a16:creationId xmlns:a16="http://schemas.microsoft.com/office/drawing/2014/main" id="{EC7C45C0-CC85-4352-ABD9-378DD40E0DE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9000" y="222250"/>
          <a:ext cx="2039444" cy="640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1054100</xdr:colOff>
      <xdr:row>1</xdr:row>
      <xdr:rowOff>25400</xdr:rowOff>
    </xdr:from>
    <xdr:to>
      <xdr:col>6</xdr:col>
      <xdr:colOff>1556844</xdr:colOff>
      <xdr:row>3</xdr:row>
      <xdr:rowOff>157480</xdr:rowOff>
    </xdr:to>
    <xdr:pic>
      <xdr:nvPicPr>
        <xdr:cNvPr id="2" name="Picture 16">
          <a:extLst>
            <a:ext uri="{FF2B5EF4-FFF2-40B4-BE49-F238E27FC236}">
              <a16:creationId xmlns:a16="http://schemas.microsoft.com/office/drawing/2014/main" id="{63F3D3FA-05B9-405F-9E11-9CB1C3004DC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86900" y="228600"/>
          <a:ext cx="2242644" cy="640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milieThouillez\Dropbox%20(Phicap)\OP%20PROJECT\Project\FR\CHCA%20-%20CH%20ARMENTIERES\08%20Analysis%20-%20Prog\02%20-%20Bloc%20Op&#233;ratoire\05%20-%20tableau%20de%20surfaces\Surfaces%20BO%20CH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uel"/>
      <sheetName val="Projet"/>
      <sheetName val="Estimation financière"/>
    </sheetNames>
    <sheetDataSet>
      <sheetData sheetId="0" refreshError="1"/>
      <sheetData sheetId="1">
        <row r="51">
          <cell r="E51">
            <v>37.5</v>
          </cell>
        </row>
        <row r="55">
          <cell r="E55">
            <v>33.5</v>
          </cell>
        </row>
        <row r="57">
          <cell r="E57">
            <v>50.9</v>
          </cell>
        </row>
        <row r="58">
          <cell r="E58">
            <v>50.9</v>
          </cell>
        </row>
        <row r="59">
          <cell r="E59">
            <v>17.899999999999999</v>
          </cell>
        </row>
        <row r="60">
          <cell r="E60">
            <v>10</v>
          </cell>
        </row>
        <row r="61">
          <cell r="E61">
            <v>15.2</v>
          </cell>
        </row>
        <row r="62">
          <cell r="E62">
            <v>5.7</v>
          </cell>
        </row>
        <row r="63">
          <cell r="E63">
            <v>4.2</v>
          </cell>
        </row>
        <row r="64">
          <cell r="E64">
            <v>3.9</v>
          </cell>
        </row>
        <row r="66">
          <cell r="E66">
            <v>5.7</v>
          </cell>
        </row>
        <row r="67">
          <cell r="E67">
            <v>4.2</v>
          </cell>
        </row>
        <row r="68">
          <cell r="E68">
            <v>3.9</v>
          </cell>
        </row>
      </sheetData>
      <sheetData sheetId="2"/>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55"/>
  <sheetViews>
    <sheetView showGridLines="0" topLeftCell="B1" zoomScaleNormal="100" zoomScaleSheetLayoutView="90" workbookViewId="0">
      <selection activeCell="K25" sqref="K25"/>
    </sheetView>
  </sheetViews>
  <sheetFormatPr baseColWidth="10" defaultRowHeight="15"/>
  <cols>
    <col min="1" max="1" width="0" hidden="1" customWidth="1"/>
    <col min="2" max="2" width="2.42578125" customWidth="1"/>
    <col min="3" max="3" width="6.7109375" customWidth="1"/>
    <col min="4" max="4" width="64.7109375" customWidth="1"/>
    <col min="5" max="5" width="23.7109375" customWidth="1"/>
    <col min="6" max="6" width="13.7109375" style="245" customWidth="1"/>
    <col min="7" max="7" width="25.140625" bestFit="1" customWidth="1"/>
    <col min="8" max="8" width="21.42578125" customWidth="1"/>
    <col min="9" max="9" width="2.42578125" customWidth="1"/>
    <col min="10" max="10" width="12.140625" bestFit="1" customWidth="1"/>
    <col min="11" max="11" width="25.42578125" customWidth="1"/>
    <col min="12" max="12" width="13.140625" customWidth="1"/>
    <col min="13" max="13" width="22.42578125" style="245" customWidth="1"/>
    <col min="14" max="14" width="13.28515625" customWidth="1"/>
    <col min="15" max="15" width="21.42578125" customWidth="1"/>
    <col min="16" max="16" width="25.140625" customWidth="1"/>
    <col min="17" max="17" width="6.7109375" customWidth="1"/>
    <col min="18" max="18" width="64.7109375" customWidth="1"/>
    <col min="19" max="19" width="23.7109375" customWidth="1"/>
    <col min="20" max="20" width="13.7109375" style="245" customWidth="1"/>
    <col min="21" max="21" width="22.85546875" customWidth="1"/>
    <col min="22" max="22" width="21.42578125" customWidth="1"/>
  </cols>
  <sheetData>
    <row r="2" spans="1:21">
      <c r="C2" s="221"/>
      <c r="D2" s="221"/>
      <c r="Q2" s="221"/>
      <c r="R2" s="221"/>
    </row>
    <row r="3" spans="1:21" ht="24">
      <c r="C3" s="508" t="s">
        <v>199</v>
      </c>
      <c r="D3" s="508"/>
      <c r="E3" s="508"/>
      <c r="F3" s="508"/>
      <c r="G3" s="508"/>
      <c r="Q3" s="508"/>
      <c r="R3" s="508"/>
      <c r="S3" s="508"/>
      <c r="T3" s="508"/>
      <c r="U3" s="508"/>
    </row>
    <row r="4" spans="1:21" ht="25.5">
      <c r="C4" s="220"/>
      <c r="D4" s="220"/>
      <c r="E4" s="220"/>
      <c r="F4" s="246"/>
      <c r="G4" s="220"/>
      <c r="Q4" s="220"/>
      <c r="R4" s="220"/>
      <c r="S4" s="220"/>
      <c r="T4" s="246"/>
      <c r="U4" s="220"/>
    </row>
    <row r="5" spans="1:21" ht="23.45" customHeight="1">
      <c r="A5" s="4"/>
      <c r="B5" s="4"/>
      <c r="C5" s="247" t="s">
        <v>179</v>
      </c>
      <c r="D5" s="247" t="s">
        <v>198</v>
      </c>
      <c r="E5" s="247"/>
      <c r="F5" s="247"/>
      <c r="G5" s="247"/>
      <c r="H5" s="247"/>
      <c r="I5" s="4"/>
      <c r="J5" s="4"/>
      <c r="T5"/>
    </row>
    <row r="6" spans="1:21" ht="30">
      <c r="C6" s="509" t="s">
        <v>40</v>
      </c>
      <c r="D6" s="509"/>
      <c r="E6" s="248" t="s">
        <v>41</v>
      </c>
      <c r="F6" s="248" t="s">
        <v>42</v>
      </c>
      <c r="G6" s="249" t="s">
        <v>124</v>
      </c>
      <c r="H6" s="249" t="s">
        <v>125</v>
      </c>
      <c r="T6"/>
    </row>
    <row r="7" spans="1:21" ht="16.5" thickBot="1">
      <c r="C7" s="39"/>
      <c r="D7" s="39"/>
      <c r="E7" s="39"/>
      <c r="F7" s="250"/>
      <c r="G7" s="24"/>
      <c r="H7" s="251"/>
      <c r="T7"/>
    </row>
    <row r="8" spans="1:21" ht="18.75" thickBot="1">
      <c r="C8" s="252" t="s">
        <v>126</v>
      </c>
      <c r="D8" s="253" t="s">
        <v>201</v>
      </c>
      <c r="E8" s="254">
        <f>E9</f>
        <v>4850</v>
      </c>
      <c r="F8" s="255">
        <f>+G8/E8</f>
        <v>2314.2761249999999</v>
      </c>
      <c r="G8" s="256">
        <f>G12</f>
        <v>11224239.206249999</v>
      </c>
      <c r="H8" s="257">
        <f>G8*1.2</f>
        <v>13469087.047499998</v>
      </c>
      <c r="K8" s="332" t="s">
        <v>204</v>
      </c>
      <c r="L8" s="333">
        <f>G15+G9</f>
        <v>11538750</v>
      </c>
      <c r="M8" s="334" t="s">
        <v>205</v>
      </c>
      <c r="N8" s="335"/>
      <c r="T8"/>
    </row>
    <row r="9" spans="1:21" ht="16.5">
      <c r="C9" s="258" t="s">
        <v>130</v>
      </c>
      <c r="D9" s="317" t="s">
        <v>202</v>
      </c>
      <c r="E9" s="318">
        <v>4850</v>
      </c>
      <c r="F9" s="319">
        <v>2150</v>
      </c>
      <c r="G9" s="320">
        <f>E9*F9</f>
        <v>10427500</v>
      </c>
      <c r="H9" s="259">
        <f>G9*1.2</f>
        <v>12513000</v>
      </c>
      <c r="T9"/>
    </row>
    <row r="10" spans="1:21" ht="16.5">
      <c r="C10" s="258" t="s">
        <v>131</v>
      </c>
      <c r="D10" s="317" t="s">
        <v>219</v>
      </c>
      <c r="E10" s="318">
        <f>E9</f>
        <v>4850</v>
      </c>
      <c r="F10" s="319">
        <f>+G10/E10</f>
        <v>2257.5</v>
      </c>
      <c r="G10" s="320">
        <f>G9*1.05</f>
        <v>10948875</v>
      </c>
      <c r="H10" s="259">
        <f t="shared" ref="H10:H12" si="0">G10*1.2</f>
        <v>13138650</v>
      </c>
      <c r="T10"/>
    </row>
    <row r="11" spans="1:21" ht="16.5">
      <c r="C11" s="258" t="s">
        <v>137</v>
      </c>
      <c r="D11" s="317" t="s">
        <v>218</v>
      </c>
      <c r="E11" s="318">
        <f>E9</f>
        <v>4850</v>
      </c>
      <c r="F11" s="319">
        <f>+G11/E11</f>
        <v>2291.3624999999997</v>
      </c>
      <c r="G11" s="320">
        <f>G10*1.015</f>
        <v>11113108.124999998</v>
      </c>
      <c r="H11" s="259">
        <f t="shared" si="0"/>
        <v>13335729.749999998</v>
      </c>
      <c r="T11"/>
    </row>
    <row r="12" spans="1:21" ht="17.25" thickBot="1">
      <c r="C12" s="321" t="s">
        <v>197</v>
      </c>
      <c r="D12" s="322" t="s">
        <v>217</v>
      </c>
      <c r="E12" s="323">
        <f>E9</f>
        <v>4850</v>
      </c>
      <c r="F12" s="324">
        <f>+G12/E12</f>
        <v>2314.2761249999999</v>
      </c>
      <c r="G12" s="325">
        <f>G11*1.01</f>
        <v>11224239.206249999</v>
      </c>
      <c r="H12" s="326">
        <f t="shared" si="0"/>
        <v>13469087.047499998</v>
      </c>
      <c r="T12"/>
    </row>
    <row r="13" spans="1:21" ht="17.100000000000001" customHeight="1" thickBot="1">
      <c r="C13" s="266"/>
      <c r="D13" s="261"/>
      <c r="E13" s="262"/>
      <c r="F13" s="263"/>
      <c r="G13" s="264"/>
      <c r="H13" s="267"/>
      <c r="T13"/>
    </row>
    <row r="14" spans="1:21" ht="17.25" thickBot="1">
      <c r="C14" s="268" t="s">
        <v>139</v>
      </c>
      <c r="D14" s="269" t="s">
        <v>180</v>
      </c>
      <c r="E14" s="270"/>
      <c r="F14" s="271"/>
      <c r="G14" s="272">
        <f>G15</f>
        <v>1111250</v>
      </c>
      <c r="H14" s="273">
        <f>SUM(H15:H15)</f>
        <v>1333500</v>
      </c>
    </row>
    <row r="15" spans="1:21" ht="17.25" thickBot="1">
      <c r="C15" s="260" t="s">
        <v>141</v>
      </c>
      <c r="D15" s="240" t="s">
        <v>208</v>
      </c>
      <c r="E15" s="327">
        <f>E8+1500</f>
        <v>6350</v>
      </c>
      <c r="F15" s="340">
        <v>175</v>
      </c>
      <c r="G15" s="24">
        <f>F15*E15</f>
        <v>1111250</v>
      </c>
      <c r="H15" s="274">
        <f>G15*1.2</f>
        <v>1333500</v>
      </c>
      <c r="K15" s="336" t="s">
        <v>209</v>
      </c>
      <c r="L15" s="337">
        <f>G8+G14</f>
        <v>12335489.206249999</v>
      </c>
      <c r="M15" s="338" t="s">
        <v>205</v>
      </c>
      <c r="N15" s="339"/>
    </row>
    <row r="16" spans="1:21" ht="16.5" thickBot="1">
      <c r="C16" s="275"/>
      <c r="D16" s="276"/>
      <c r="E16" s="277"/>
      <c r="F16" s="278"/>
      <c r="G16" s="279"/>
      <c r="H16" s="280"/>
    </row>
    <row r="17" spans="3:12" ht="18.75" thickBot="1">
      <c r="C17" s="503" t="s">
        <v>184</v>
      </c>
      <c r="D17" s="504"/>
      <c r="E17" s="504"/>
      <c r="F17" s="504"/>
      <c r="G17" s="163">
        <f>+G14+G8</f>
        <v>12335489.206249999</v>
      </c>
      <c r="H17" s="163">
        <f>+H8+H14</f>
        <v>14802587.047499998</v>
      </c>
    </row>
    <row r="18" spans="3:12" ht="16.5" thickBot="1">
      <c r="E18" s="281"/>
      <c r="F18" s="282"/>
      <c r="G18" s="235"/>
      <c r="H18" s="235"/>
    </row>
    <row r="19" spans="3:12" ht="15.75">
      <c r="C19" s="283" t="s">
        <v>144</v>
      </c>
      <c r="D19" s="284" t="s">
        <v>185</v>
      </c>
      <c r="E19" s="285"/>
      <c r="F19" s="286">
        <f>SUM(F20:F26)</f>
        <v>0.19520000000000004</v>
      </c>
      <c r="G19" s="287">
        <f>+SUM(G20:G26)</f>
        <v>2407887.4930600002</v>
      </c>
      <c r="H19" s="288">
        <f>SUM(H20:H26)</f>
        <v>2889464.9916719995</v>
      </c>
    </row>
    <row r="20" spans="3:12" ht="16.5">
      <c r="C20" s="260" t="s">
        <v>181</v>
      </c>
      <c r="D20" s="240" t="s">
        <v>112</v>
      </c>
      <c r="E20" s="39"/>
      <c r="F20" s="289">
        <v>0.13</v>
      </c>
      <c r="G20" s="24">
        <f>$G$17*F20</f>
        <v>1603613.5968124999</v>
      </c>
      <c r="H20" s="274">
        <f t="shared" ref="H20:H26" si="1">G20*1.2</f>
        <v>1924336.3161749998</v>
      </c>
    </row>
    <row r="21" spans="3:12" ht="16.5">
      <c r="C21" s="290" t="s">
        <v>182</v>
      </c>
      <c r="D21" s="291" t="s">
        <v>186</v>
      </c>
      <c r="E21" s="39"/>
      <c r="F21" s="292">
        <f>+G21/G17</f>
        <v>5.2000000000000006E-3</v>
      </c>
      <c r="G21" s="24">
        <f>G20*0.05*0.8</f>
        <v>64144.543872500006</v>
      </c>
      <c r="H21" s="274">
        <f t="shared" si="1"/>
        <v>76973.452646999998</v>
      </c>
      <c r="K21" s="330"/>
      <c r="L21" s="331"/>
    </row>
    <row r="22" spans="3:12" ht="16.5">
      <c r="C22" s="260" t="s">
        <v>183</v>
      </c>
      <c r="D22" s="240" t="s">
        <v>114</v>
      </c>
      <c r="E22" s="39"/>
      <c r="F22" s="289">
        <v>0.03</v>
      </c>
      <c r="G22" s="24">
        <f>$G$17*F22</f>
        <v>370064.67618749995</v>
      </c>
      <c r="H22" s="274">
        <f t="shared" si="1"/>
        <v>444077.61142499995</v>
      </c>
    </row>
    <row r="23" spans="3:12" ht="16.5">
      <c r="C23" s="260" t="s">
        <v>187</v>
      </c>
      <c r="D23" s="240" t="s">
        <v>188</v>
      </c>
      <c r="E23" s="39"/>
      <c r="F23" s="289">
        <v>5.0000000000000001E-3</v>
      </c>
      <c r="G23" s="24">
        <f>$G$17*F23</f>
        <v>61677.446031249994</v>
      </c>
      <c r="H23" s="274">
        <f t="shared" si="1"/>
        <v>74012.935237499987</v>
      </c>
    </row>
    <row r="24" spans="3:12" ht="16.5">
      <c r="C24" s="260" t="s">
        <v>189</v>
      </c>
      <c r="D24" s="240" t="s">
        <v>115</v>
      </c>
      <c r="E24" s="39"/>
      <c r="F24" s="289">
        <v>1.4999999999999999E-2</v>
      </c>
      <c r="G24" s="24">
        <f>$G$17*F24</f>
        <v>185032.33809374998</v>
      </c>
      <c r="H24" s="274">
        <f t="shared" si="1"/>
        <v>222038.80571249998</v>
      </c>
    </row>
    <row r="25" spans="3:12" ht="16.5">
      <c r="C25" s="260" t="s">
        <v>190</v>
      </c>
      <c r="D25" s="240" t="s">
        <v>116</v>
      </c>
      <c r="E25" s="39"/>
      <c r="F25" s="289">
        <v>5.0000000000000001E-3</v>
      </c>
      <c r="G25" s="24">
        <f>$G$17*F25</f>
        <v>61677.446031249994</v>
      </c>
      <c r="H25" s="274">
        <f t="shared" si="1"/>
        <v>74012.935237499987</v>
      </c>
    </row>
    <row r="26" spans="3:12" ht="17.25" thickBot="1">
      <c r="C26" s="265" t="s">
        <v>191</v>
      </c>
      <c r="D26" s="199" t="s">
        <v>117</v>
      </c>
      <c r="E26" s="54"/>
      <c r="F26" s="293">
        <v>5.0000000000000001E-3</v>
      </c>
      <c r="G26" s="59">
        <f>$G$17*F26</f>
        <v>61677.446031249994</v>
      </c>
      <c r="H26" s="294">
        <f t="shared" si="1"/>
        <v>74012.935237499987</v>
      </c>
    </row>
    <row r="27" spans="3:12" ht="16.5" thickBot="1">
      <c r="C27" s="39"/>
      <c r="D27" s="39"/>
      <c r="E27" s="39"/>
      <c r="F27" s="289"/>
      <c r="G27" s="24"/>
      <c r="H27" s="251"/>
    </row>
    <row r="28" spans="3:12" ht="16.5">
      <c r="C28" s="295" t="s">
        <v>145</v>
      </c>
      <c r="D28" s="296" t="s">
        <v>192</v>
      </c>
      <c r="E28" s="297"/>
      <c r="F28" s="298"/>
      <c r="G28" s="299">
        <f>SUM(G29:G34)</f>
        <v>656593.78047187498</v>
      </c>
      <c r="H28" s="300">
        <f>SUM(H29:H34)</f>
        <v>763241.55815374991</v>
      </c>
      <c r="J28" s="301"/>
    </row>
    <row r="29" spans="3:12" ht="16.5">
      <c r="C29" s="260" t="s">
        <v>146</v>
      </c>
      <c r="D29" s="240" t="s">
        <v>119</v>
      </c>
      <c r="E29" s="39"/>
      <c r="F29" s="289">
        <v>2E-3</v>
      </c>
      <c r="G29" s="24">
        <f>F29*$G$17</f>
        <v>24670.978412499997</v>
      </c>
      <c r="H29" s="274">
        <f>G29*1.2</f>
        <v>29605.174094999995</v>
      </c>
    </row>
    <row r="30" spans="3:12" ht="16.5">
      <c r="C30" s="260" t="s">
        <v>147</v>
      </c>
      <c r="D30" s="240" t="s">
        <v>120</v>
      </c>
      <c r="E30" s="39"/>
      <c r="F30" s="289">
        <v>4.0000000000000001E-3</v>
      </c>
      <c r="G30" s="24">
        <f>+F30*G17</f>
        <v>49341.956824999994</v>
      </c>
      <c r="H30" s="274">
        <f>G30*1.2</f>
        <v>59210.34818999999</v>
      </c>
    </row>
    <row r="31" spans="3:12" ht="16.5">
      <c r="C31" s="260" t="s">
        <v>148</v>
      </c>
      <c r="D31" s="240" t="s">
        <v>121</v>
      </c>
      <c r="E31" s="39"/>
      <c r="F31" s="289">
        <v>0.01</v>
      </c>
      <c r="G31" s="24">
        <f>+F31*G17</f>
        <v>123354.89206249999</v>
      </c>
      <c r="H31" s="274">
        <f>G31*1.2</f>
        <v>148025.87047499997</v>
      </c>
    </row>
    <row r="32" spans="3:12" ht="18.95" customHeight="1">
      <c r="C32" s="260" t="s">
        <v>149</v>
      </c>
      <c r="D32" s="240" t="s">
        <v>207</v>
      </c>
      <c r="E32" s="39"/>
      <c r="F32" s="289">
        <v>0.02</v>
      </c>
      <c r="G32" s="24">
        <f>F32*$G$17</f>
        <v>246709.78412499998</v>
      </c>
      <c r="H32" s="274">
        <f>+G32*1.1</f>
        <v>271380.76253750001</v>
      </c>
    </row>
    <row r="33" spans="3:9" ht="16.5">
      <c r="C33" s="290" t="s">
        <v>151</v>
      </c>
      <c r="D33" s="240" t="s">
        <v>193</v>
      </c>
      <c r="E33" s="39"/>
      <c r="F33" s="316"/>
      <c r="G33" s="24">
        <v>120000</v>
      </c>
      <c r="H33" s="274">
        <f>G33*1.2</f>
        <v>144000</v>
      </c>
    </row>
    <row r="34" spans="3:9" ht="17.25" thickBot="1">
      <c r="C34" s="265" t="s">
        <v>152</v>
      </c>
      <c r="D34" s="199" t="s">
        <v>194</v>
      </c>
      <c r="E34" s="54"/>
      <c r="F34" s="293">
        <v>7.4999999999999997E-3</v>
      </c>
      <c r="G34" s="59">
        <f>F34*$G$17</f>
        <v>92516.169046874988</v>
      </c>
      <c r="H34" s="294">
        <f>G34*1.2</f>
        <v>111019.40285624999</v>
      </c>
    </row>
    <row r="35" spans="3:9" ht="17.25" thickBot="1">
      <c r="C35" s="42"/>
      <c r="D35" s="42"/>
      <c r="E35" s="39"/>
      <c r="F35" s="289"/>
      <c r="G35" s="24"/>
      <c r="H35" s="251"/>
    </row>
    <row r="36" spans="3:9" ht="18.75" thickBot="1">
      <c r="C36" s="503" t="s">
        <v>206</v>
      </c>
      <c r="D36" s="504"/>
      <c r="E36" s="504"/>
      <c r="F36" s="504"/>
      <c r="G36" s="163">
        <f>G17+G19+G28</f>
        <v>15399970.479781874</v>
      </c>
      <c r="H36" s="163">
        <f>H17+H19+H28</f>
        <v>18455293.597325746</v>
      </c>
    </row>
    <row r="37" spans="3:9" ht="16.5" thickBot="1">
      <c r="G37" s="45"/>
      <c r="H37" s="302"/>
    </row>
    <row r="38" spans="3:9" ht="15.75">
      <c r="C38" s="200" t="s">
        <v>153</v>
      </c>
      <c r="D38" s="201" t="s">
        <v>195</v>
      </c>
      <c r="E38" s="202"/>
      <c r="F38" s="303">
        <f>SUM(F39:F41)</f>
        <v>0.1</v>
      </c>
      <c r="G38" s="204">
        <f>SUM(G39,G40)</f>
        <v>1386772.9843015936</v>
      </c>
      <c r="H38" s="304">
        <f>SUM(H39,H40)</f>
        <v>1664127.5811619125</v>
      </c>
      <c r="I38" s="305"/>
    </row>
    <row r="39" spans="3:9" ht="16.5">
      <c r="C39" s="260" t="s">
        <v>154</v>
      </c>
      <c r="D39" s="240" t="s">
        <v>163</v>
      </c>
      <c r="E39" s="39"/>
      <c r="F39" s="306">
        <v>0.05</v>
      </c>
      <c r="G39" s="24">
        <f>G17*F39</f>
        <v>616774.46031250001</v>
      </c>
      <c r="H39" s="274">
        <f>G39*1.2</f>
        <v>740129.35237500002</v>
      </c>
      <c r="I39" s="307"/>
    </row>
    <row r="40" spans="3:9" ht="17.25" thickBot="1">
      <c r="C40" s="265" t="s">
        <v>155</v>
      </c>
      <c r="D40" s="199" t="s">
        <v>203</v>
      </c>
      <c r="E40" s="54"/>
      <c r="F40" s="308">
        <v>0.05</v>
      </c>
      <c r="G40" s="59">
        <f>G36*F40</f>
        <v>769998.52398909372</v>
      </c>
      <c r="H40" s="294">
        <f>G40*1.2</f>
        <v>923998.2287869124</v>
      </c>
    </row>
    <row r="41" spans="3:9" ht="16.5" thickBot="1">
      <c r="C41" s="54"/>
      <c r="D41" s="54"/>
      <c r="E41" s="54"/>
      <c r="F41" s="309"/>
      <c r="G41" s="59"/>
      <c r="H41" s="310"/>
    </row>
    <row r="42" spans="3:9" ht="21" thickBot="1">
      <c r="C42" s="505" t="s">
        <v>67</v>
      </c>
      <c r="D42" s="506"/>
      <c r="E42" s="506"/>
      <c r="F42" s="507"/>
      <c r="G42" s="109"/>
      <c r="H42" s="311">
        <f>+H36+H38</f>
        <v>20119421.178487659</v>
      </c>
    </row>
    <row r="43" spans="3:9" ht="15.75">
      <c r="F43" s="312"/>
      <c r="G43" s="313" t="s">
        <v>200</v>
      </c>
      <c r="H43" s="314">
        <v>20000000</v>
      </c>
    </row>
    <row r="44" spans="3:9" ht="15.75" thickBot="1">
      <c r="G44" s="62" t="s">
        <v>196</v>
      </c>
      <c r="H44" s="315">
        <f>+H43-H42</f>
        <v>-119421.1784876585</v>
      </c>
    </row>
    <row r="48" spans="3:9" ht="24">
      <c r="C48" s="508"/>
      <c r="D48" s="508"/>
      <c r="E48" s="508"/>
      <c r="F48" s="508"/>
      <c r="G48" s="508"/>
    </row>
    <row r="49" spans="3:20" ht="25.5">
      <c r="C49" s="220"/>
      <c r="D49" s="220"/>
      <c r="E49" s="220"/>
      <c r="F49" s="246"/>
      <c r="G49" s="220"/>
      <c r="K49" s="245"/>
      <c r="M49"/>
      <c r="R49" s="245"/>
      <c r="T49"/>
    </row>
    <row r="50" spans="3:20">
      <c r="K50" s="245"/>
      <c r="M50"/>
      <c r="R50" s="245"/>
      <c r="T50"/>
    </row>
    <row r="51" spans="3:20">
      <c r="K51" s="245"/>
      <c r="M51"/>
      <c r="R51" s="245"/>
      <c r="T51"/>
    </row>
    <row r="52" spans="3:20">
      <c r="K52" s="245"/>
      <c r="M52"/>
      <c r="R52" s="245"/>
      <c r="T52"/>
    </row>
    <row r="53" spans="3:20">
      <c r="K53" s="245"/>
      <c r="M53"/>
      <c r="R53" s="245"/>
      <c r="T53"/>
    </row>
    <row r="54" spans="3:20">
      <c r="K54" s="245"/>
      <c r="M54"/>
      <c r="R54" s="245"/>
      <c r="T54"/>
    </row>
    <row r="55" spans="3:20">
      <c r="K55" s="245"/>
      <c r="M55"/>
      <c r="R55" s="245"/>
      <c r="T55"/>
    </row>
  </sheetData>
  <mergeCells count="7">
    <mergeCell ref="C36:F36"/>
    <mergeCell ref="C42:F42"/>
    <mergeCell ref="C48:G48"/>
    <mergeCell ref="C3:G3"/>
    <mergeCell ref="Q3:U3"/>
    <mergeCell ref="C6:D6"/>
    <mergeCell ref="C17:F17"/>
  </mergeCells>
  <conditionalFormatting sqref="H44">
    <cfRule type="cellIs" dxfId="7" priority="1" operator="lessThan">
      <formula>0</formula>
    </cfRule>
    <cfRule type="cellIs" dxfId="6" priority="2" operator="greaterThanOrEqual">
      <formula>0</formula>
    </cfRule>
  </conditionalFormatting>
  <pageMargins left="0.7" right="0.7" top="0.75" bottom="0.75" header="0.3" footer="0.3"/>
  <pageSetup paperSize="9" scale="46"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79"/>
  <sheetViews>
    <sheetView showGridLines="0" topLeftCell="B4" zoomScale="143" zoomScaleNormal="80" zoomScaleSheetLayoutView="90" workbookViewId="0">
      <selection activeCell="D32" sqref="D32:H32"/>
    </sheetView>
  </sheetViews>
  <sheetFormatPr baseColWidth="10" defaultRowHeight="15" outlineLevelRow="1"/>
  <cols>
    <col min="1" max="1" width="0" hidden="1" customWidth="1"/>
    <col min="2" max="2" width="2.42578125" customWidth="1"/>
    <col min="3" max="3" width="8.85546875" customWidth="1"/>
    <col min="4" max="4" width="64.7109375" customWidth="1"/>
    <col min="5" max="5" width="23.7109375" customWidth="1"/>
    <col min="6" max="6" width="13.7109375" style="245" customWidth="1"/>
    <col min="7" max="7" width="25.140625" bestFit="1" customWidth="1"/>
    <col min="8" max="8" width="21.42578125" customWidth="1"/>
    <col min="9" max="9" width="2.42578125" customWidth="1"/>
    <col min="10" max="10" width="12.140625" bestFit="1" customWidth="1"/>
    <col min="11" max="11" width="25.42578125" customWidth="1"/>
    <col min="12" max="12" width="50.28515625" customWidth="1"/>
    <col min="13" max="13" width="22.42578125" style="245" customWidth="1"/>
    <col min="14" max="14" width="22.42578125" customWidth="1"/>
    <col min="15" max="15" width="21.42578125" customWidth="1"/>
    <col min="16" max="16" width="25.140625" customWidth="1"/>
    <col min="17" max="17" width="6.7109375" customWidth="1"/>
    <col min="18" max="18" width="64.7109375" customWidth="1"/>
    <col min="19" max="19" width="23.7109375" customWidth="1"/>
    <col min="20" max="20" width="13.7109375" style="245" customWidth="1"/>
    <col min="21" max="21" width="22.85546875" customWidth="1"/>
    <col min="22" max="22" width="21.42578125" customWidth="1"/>
  </cols>
  <sheetData>
    <row r="2" spans="1:21">
      <c r="C2" s="221"/>
      <c r="D2" s="221"/>
      <c r="Q2" s="221"/>
      <c r="R2" s="221"/>
    </row>
    <row r="3" spans="1:21" ht="24">
      <c r="C3" s="508" t="s">
        <v>199</v>
      </c>
      <c r="D3" s="508"/>
      <c r="E3" s="508"/>
      <c r="F3" s="508"/>
      <c r="G3" s="508"/>
      <c r="Q3" s="508"/>
      <c r="R3" s="508"/>
      <c r="S3" s="508"/>
      <c r="T3" s="508"/>
      <c r="U3" s="508"/>
    </row>
    <row r="4" spans="1:21" ht="25.5">
      <c r="C4" s="220"/>
      <c r="D4" s="220"/>
      <c r="E4" s="220"/>
      <c r="F4" s="246"/>
      <c r="G4" s="220"/>
      <c r="Q4" s="220"/>
      <c r="R4" s="220"/>
      <c r="S4" s="220"/>
      <c r="T4" s="246"/>
      <c r="U4" s="220"/>
    </row>
    <row r="5" spans="1:21" ht="23.45" customHeight="1">
      <c r="A5" s="4"/>
      <c r="B5" s="4"/>
      <c r="C5" s="247" t="s">
        <v>244</v>
      </c>
      <c r="D5" s="247" t="s">
        <v>220</v>
      </c>
      <c r="E5" s="247"/>
      <c r="F5" s="247"/>
      <c r="G5" s="247"/>
      <c r="H5" s="247"/>
      <c r="I5" s="4"/>
      <c r="J5" s="4"/>
      <c r="T5"/>
    </row>
    <row r="6" spans="1:21" ht="30">
      <c r="C6" s="509" t="s">
        <v>40</v>
      </c>
      <c r="D6" s="509"/>
      <c r="E6" s="248" t="s">
        <v>41</v>
      </c>
      <c r="F6" s="248" t="s">
        <v>42</v>
      </c>
      <c r="G6" s="249" t="s">
        <v>124</v>
      </c>
      <c r="H6" s="249" t="s">
        <v>125</v>
      </c>
      <c r="T6"/>
    </row>
    <row r="7" spans="1:21" ht="16.5" thickBot="1">
      <c r="C7" s="39"/>
      <c r="D7" s="39"/>
      <c r="E7" s="39"/>
      <c r="F7" s="250"/>
      <c r="G7" s="24"/>
      <c r="H7" s="251"/>
      <c r="M7"/>
      <c r="T7"/>
    </row>
    <row r="8" spans="1:21" ht="15.6" customHeight="1">
      <c r="C8" s="341" t="s">
        <v>126</v>
      </c>
      <c r="D8" s="342" t="s">
        <v>223</v>
      </c>
      <c r="E8" s="343">
        <f>E27+E9+E14+E17+E22+E33</f>
        <v>4648.2</v>
      </c>
      <c r="F8" s="344"/>
      <c r="G8" s="345">
        <f>G27+G17+G14+G9+G22+G33</f>
        <v>11855000</v>
      </c>
      <c r="H8" s="346">
        <f>G8*1.2</f>
        <v>14226000</v>
      </c>
      <c r="M8"/>
      <c r="T8"/>
    </row>
    <row r="9" spans="1:21" ht="15.6" customHeight="1">
      <c r="C9" s="347" t="s">
        <v>130</v>
      </c>
      <c r="D9" s="373" t="s">
        <v>225</v>
      </c>
      <c r="E9" s="374">
        <v>0</v>
      </c>
      <c r="F9" s="381"/>
      <c r="G9" s="376"/>
      <c r="H9" s="389">
        <f>G9*1.2</f>
        <v>0</v>
      </c>
      <c r="M9"/>
      <c r="T9"/>
    </row>
    <row r="10" spans="1:21" ht="15.6" customHeight="1" outlineLevel="1">
      <c r="C10" s="349" t="s">
        <v>132</v>
      </c>
      <c r="D10" s="380" t="s">
        <v>256</v>
      </c>
      <c r="E10" s="377">
        <v>440</v>
      </c>
      <c r="F10" s="379">
        <v>1400</v>
      </c>
      <c r="G10" s="378">
        <f>E10*F10</f>
        <v>616000</v>
      </c>
      <c r="H10" s="350">
        <f>G10*1.2</f>
        <v>739200</v>
      </c>
      <c r="M10"/>
      <c r="T10"/>
    </row>
    <row r="11" spans="1:21" ht="15.6" customHeight="1" outlineLevel="1">
      <c r="C11" s="349" t="s">
        <v>133</v>
      </c>
      <c r="D11" s="380" t="s">
        <v>254</v>
      </c>
      <c r="E11" s="377">
        <v>113</v>
      </c>
      <c r="F11" s="379">
        <v>1400</v>
      </c>
      <c r="G11" s="378">
        <f t="shared" ref="G11:G20" si="0">E11*F11</f>
        <v>158200</v>
      </c>
      <c r="H11" s="350">
        <f t="shared" ref="H11:H20" si="1">G11*1.2</f>
        <v>189840</v>
      </c>
      <c r="M11"/>
      <c r="T11"/>
    </row>
    <row r="12" spans="1:21" ht="15.6" customHeight="1" outlineLevel="1">
      <c r="C12" s="349"/>
      <c r="D12" s="380" t="s">
        <v>255</v>
      </c>
      <c r="E12" s="377">
        <f>748-113</f>
        <v>635</v>
      </c>
      <c r="F12" s="379">
        <v>2200</v>
      </c>
      <c r="G12" s="378">
        <f t="shared" si="0"/>
        <v>1397000</v>
      </c>
      <c r="H12" s="350">
        <f t="shared" si="1"/>
        <v>1676400</v>
      </c>
      <c r="M12"/>
      <c r="T12"/>
    </row>
    <row r="13" spans="1:21" ht="15.6" customHeight="1" outlineLevel="1">
      <c r="C13" s="349" t="s">
        <v>134</v>
      </c>
      <c r="D13" s="380" t="s">
        <v>245</v>
      </c>
      <c r="E13" s="377">
        <v>748</v>
      </c>
      <c r="F13" s="379">
        <v>2200</v>
      </c>
      <c r="G13" s="378">
        <f t="shared" si="0"/>
        <v>1645600</v>
      </c>
      <c r="H13" s="350">
        <f t="shared" si="1"/>
        <v>1974720</v>
      </c>
      <c r="M13"/>
      <c r="T13"/>
    </row>
    <row r="14" spans="1:21" ht="15.6" customHeight="1">
      <c r="C14" s="347" t="s">
        <v>131</v>
      </c>
      <c r="D14" s="373" t="s">
        <v>212</v>
      </c>
      <c r="E14" s="374">
        <v>0</v>
      </c>
      <c r="F14" s="381"/>
      <c r="G14" s="376">
        <f>SUM(G15:G16)</f>
        <v>2431600</v>
      </c>
      <c r="H14" s="348">
        <f>SUM(H15:H16)</f>
        <v>2917920</v>
      </c>
      <c r="M14"/>
      <c r="T14"/>
    </row>
    <row r="15" spans="1:21" ht="15.6" customHeight="1" outlineLevel="1">
      <c r="C15" s="349" t="s">
        <v>136</v>
      </c>
      <c r="D15" s="380" t="s">
        <v>257</v>
      </c>
      <c r="E15" s="377">
        <v>590</v>
      </c>
      <c r="F15" s="379">
        <v>3400</v>
      </c>
      <c r="G15" s="378">
        <f t="shared" si="0"/>
        <v>2006000</v>
      </c>
      <c r="H15" s="350">
        <f t="shared" si="1"/>
        <v>2407200</v>
      </c>
      <c r="M15"/>
      <c r="T15"/>
    </row>
    <row r="16" spans="1:21" ht="15.6" customHeight="1" outlineLevel="1">
      <c r="C16" s="349" t="s">
        <v>246</v>
      </c>
      <c r="D16" s="380" t="s">
        <v>247</v>
      </c>
      <c r="E16" s="377">
        <v>266</v>
      </c>
      <c r="F16" s="379">
        <v>1600</v>
      </c>
      <c r="G16" s="378">
        <f t="shared" si="0"/>
        <v>425600</v>
      </c>
      <c r="H16" s="350">
        <f t="shared" si="1"/>
        <v>510720</v>
      </c>
      <c r="M16"/>
      <c r="T16"/>
    </row>
    <row r="17" spans="3:20" ht="15.6" customHeight="1">
      <c r="C17" s="347" t="s">
        <v>137</v>
      </c>
      <c r="D17" s="373" t="s">
        <v>226</v>
      </c>
      <c r="E17" s="374">
        <f>SUM(E18:E21)</f>
        <v>4648.2</v>
      </c>
      <c r="F17" s="381"/>
      <c r="G17" s="376">
        <f>SUM(G18:G21)</f>
        <v>9423400</v>
      </c>
      <c r="H17" s="348">
        <f>SUM(H18:H21)</f>
        <v>11308080</v>
      </c>
      <c r="M17"/>
      <c r="T17"/>
    </row>
    <row r="18" spans="3:20" ht="15.6" customHeight="1" outlineLevel="1">
      <c r="C18" s="349" t="s">
        <v>138</v>
      </c>
      <c r="D18" s="380" t="s">
        <v>258</v>
      </c>
      <c r="E18" s="377">
        <f>4260-490</f>
        <v>3770</v>
      </c>
      <c r="F18" s="379">
        <v>2100</v>
      </c>
      <c r="G18" s="378">
        <f t="shared" si="0"/>
        <v>7917000</v>
      </c>
      <c r="H18" s="350">
        <f t="shared" si="1"/>
        <v>9500400</v>
      </c>
      <c r="J18" s="388"/>
      <c r="M18"/>
      <c r="T18"/>
    </row>
    <row r="19" spans="3:20" ht="15.6" customHeight="1" outlineLevel="1">
      <c r="C19" s="349" t="s">
        <v>227</v>
      </c>
      <c r="D19" s="380" t="s">
        <v>259</v>
      </c>
      <c r="E19" s="377">
        <v>490</v>
      </c>
      <c r="F19" s="379">
        <v>1600</v>
      </c>
      <c r="G19" s="378">
        <f t="shared" si="0"/>
        <v>784000</v>
      </c>
      <c r="H19" s="350">
        <f t="shared" si="1"/>
        <v>940800</v>
      </c>
      <c r="M19"/>
      <c r="T19"/>
    </row>
    <row r="20" spans="3:20" ht="15.6" customHeight="1" outlineLevel="1">
      <c r="C20" s="349" t="s">
        <v>228</v>
      </c>
      <c r="D20" s="380" t="s">
        <v>260</v>
      </c>
      <c r="E20" s="377">
        <f>(E18+E19)*0.07</f>
        <v>298.20000000000005</v>
      </c>
      <c r="F20" s="379">
        <v>2000</v>
      </c>
      <c r="G20" s="378">
        <f t="shared" si="0"/>
        <v>596400.00000000012</v>
      </c>
      <c r="H20" s="350">
        <f t="shared" si="1"/>
        <v>715680.00000000012</v>
      </c>
      <c r="M20"/>
      <c r="T20"/>
    </row>
    <row r="21" spans="3:20" ht="15.6" customHeight="1" outlineLevel="1">
      <c r="C21" s="349" t="s">
        <v>229</v>
      </c>
      <c r="D21" s="380" t="s">
        <v>104</v>
      </c>
      <c r="E21" s="377">
        <v>90</v>
      </c>
      <c r="F21" s="379">
        <v>1400</v>
      </c>
      <c r="G21" s="378">
        <f>E21*F21</f>
        <v>126000</v>
      </c>
      <c r="H21" s="350">
        <f>G21*1.2</f>
        <v>151200</v>
      </c>
      <c r="M21"/>
      <c r="T21"/>
    </row>
    <row r="22" spans="3:20" ht="15.6" customHeight="1" outlineLevel="1">
      <c r="C22" s="347">
        <v>1.4</v>
      </c>
      <c r="D22" s="373" t="s">
        <v>215</v>
      </c>
      <c r="E22" s="374">
        <v>0</v>
      </c>
      <c r="F22" s="375">
        <v>2150</v>
      </c>
      <c r="G22" s="376"/>
      <c r="H22" s="348">
        <f>G22*1.2</f>
        <v>0</v>
      </c>
      <c r="M22"/>
      <c r="T22"/>
    </row>
    <row r="23" spans="3:20" ht="15.6" customHeight="1" outlineLevel="1">
      <c r="C23" s="349" t="s">
        <v>230</v>
      </c>
      <c r="D23" s="380" t="s">
        <v>252</v>
      </c>
      <c r="E23" s="377">
        <v>113</v>
      </c>
      <c r="F23" s="379">
        <v>1400</v>
      </c>
      <c r="G23" s="378">
        <f t="shared" ref="G23:G26" si="2">E23*F23</f>
        <v>158200</v>
      </c>
      <c r="H23" s="350">
        <f t="shared" ref="H23:H26" si="3">G23*1.2</f>
        <v>189840</v>
      </c>
      <c r="M23"/>
      <c r="T23"/>
    </row>
    <row r="24" spans="3:20" ht="15.6" customHeight="1" outlineLevel="1">
      <c r="C24" s="349"/>
      <c r="D24" s="380" t="s">
        <v>253</v>
      </c>
      <c r="E24" s="377">
        <f>(1010-113)</f>
        <v>897</v>
      </c>
      <c r="F24" s="379">
        <v>1900</v>
      </c>
      <c r="G24" s="378">
        <f t="shared" si="2"/>
        <v>1704300</v>
      </c>
      <c r="H24" s="350">
        <f t="shared" si="3"/>
        <v>2045160</v>
      </c>
      <c r="M24"/>
      <c r="T24"/>
    </row>
    <row r="25" spans="3:20" ht="15.6" customHeight="1" outlineLevel="1">
      <c r="C25" s="349" t="s">
        <v>231</v>
      </c>
      <c r="D25" s="380" t="s">
        <v>250</v>
      </c>
      <c r="E25" s="377">
        <v>1010</v>
      </c>
      <c r="F25" s="379">
        <v>1900</v>
      </c>
      <c r="G25" s="378">
        <f t="shared" si="2"/>
        <v>1919000</v>
      </c>
      <c r="H25" s="350">
        <f t="shared" si="3"/>
        <v>2302800</v>
      </c>
      <c r="M25"/>
      <c r="T25"/>
    </row>
    <row r="26" spans="3:20" ht="15.6" customHeight="1" outlineLevel="1">
      <c r="C26" s="349" t="s">
        <v>232</v>
      </c>
      <c r="D26" s="380" t="s">
        <v>251</v>
      </c>
      <c r="E26" s="377">
        <v>1010</v>
      </c>
      <c r="F26" s="379">
        <v>1900</v>
      </c>
      <c r="G26" s="378">
        <f t="shared" si="2"/>
        <v>1919000</v>
      </c>
      <c r="H26" s="350">
        <f t="shared" si="3"/>
        <v>2302800</v>
      </c>
      <c r="M26"/>
      <c r="T26"/>
    </row>
    <row r="27" spans="3:20" ht="15.6" customHeight="1">
      <c r="C27" s="347" t="s">
        <v>210</v>
      </c>
      <c r="D27" s="373" t="s">
        <v>234</v>
      </c>
      <c r="E27" s="374">
        <v>0</v>
      </c>
      <c r="F27" s="375" t="e">
        <f>G27/E27</f>
        <v>#DIV/0!</v>
      </c>
      <c r="G27" s="376">
        <v>0</v>
      </c>
      <c r="H27" s="348">
        <v>0</v>
      </c>
      <c r="M27"/>
      <c r="T27"/>
    </row>
    <row r="28" spans="3:20" ht="15.6" customHeight="1">
      <c r="C28" s="349" t="s">
        <v>235</v>
      </c>
      <c r="D28" s="380" t="s">
        <v>261</v>
      </c>
      <c r="E28" s="377">
        <v>440</v>
      </c>
      <c r="F28" s="379">
        <v>1400</v>
      </c>
      <c r="G28" s="378">
        <f>E28*F28</f>
        <v>616000</v>
      </c>
      <c r="H28" s="350">
        <f>G28*1.2</f>
        <v>739200</v>
      </c>
      <c r="M28"/>
      <c r="T28"/>
    </row>
    <row r="29" spans="3:20" ht="15.6" customHeight="1" outlineLevel="1">
      <c r="C29" s="349" t="s">
        <v>235</v>
      </c>
      <c r="D29" s="380" t="s">
        <v>239</v>
      </c>
      <c r="E29" s="377">
        <v>380</v>
      </c>
      <c r="F29" s="379">
        <v>800</v>
      </c>
      <c r="G29" s="378">
        <f>E29*F29</f>
        <v>304000</v>
      </c>
      <c r="H29" s="350">
        <f>G29*1.2</f>
        <v>364800</v>
      </c>
      <c r="M29"/>
      <c r="T29"/>
    </row>
    <row r="30" spans="3:20" ht="15.6" customHeight="1" outlineLevel="1">
      <c r="C30" s="349" t="s">
        <v>236</v>
      </c>
      <c r="D30" s="380" t="s">
        <v>240</v>
      </c>
      <c r="E30" s="377">
        <v>400</v>
      </c>
      <c r="F30" s="379">
        <v>800</v>
      </c>
      <c r="G30" s="378">
        <f t="shared" ref="G30:G31" si="4">E30*F30</f>
        <v>320000</v>
      </c>
      <c r="H30" s="350">
        <f t="shared" ref="H30:H31" si="5">G30*1.2</f>
        <v>384000</v>
      </c>
      <c r="M30"/>
      <c r="T30"/>
    </row>
    <row r="31" spans="3:20" ht="15.6" customHeight="1" outlineLevel="1">
      <c r="C31" s="349" t="s">
        <v>237</v>
      </c>
      <c r="D31" s="380" t="s">
        <v>241</v>
      </c>
      <c r="E31" s="377">
        <v>220</v>
      </c>
      <c r="F31" s="379">
        <v>1000</v>
      </c>
      <c r="G31" s="378">
        <f t="shared" si="4"/>
        <v>220000</v>
      </c>
      <c r="H31" s="350">
        <f t="shared" si="5"/>
        <v>264000</v>
      </c>
      <c r="M31"/>
      <c r="T31"/>
    </row>
    <row r="32" spans="3:20" ht="15.6" customHeight="1" outlineLevel="1">
      <c r="C32" s="349" t="s">
        <v>238</v>
      </c>
      <c r="D32" s="380" t="s">
        <v>242</v>
      </c>
      <c r="E32" s="377">
        <v>580</v>
      </c>
      <c r="F32" s="379">
        <v>600</v>
      </c>
      <c r="G32" s="378">
        <f>E32*F32</f>
        <v>348000</v>
      </c>
      <c r="H32" s="350">
        <f>G32*1.2</f>
        <v>417600</v>
      </c>
      <c r="M32"/>
      <c r="T32"/>
    </row>
    <row r="33" spans="1:21" ht="15.6" customHeight="1" thickBot="1">
      <c r="C33" s="351" t="s">
        <v>211</v>
      </c>
      <c r="D33" s="352" t="s">
        <v>248</v>
      </c>
      <c r="E33" s="353">
        <v>0</v>
      </c>
      <c r="F33" s="358" t="e">
        <f>G33/E33</f>
        <v>#DIV/0!</v>
      </c>
      <c r="G33" s="354">
        <v>0</v>
      </c>
      <c r="H33" s="355">
        <v>0</v>
      </c>
      <c r="M33"/>
      <c r="T33"/>
    </row>
    <row r="34" spans="1:21" ht="15.6" customHeight="1" outlineLevel="1" thickBot="1">
      <c r="C34" s="382" t="s">
        <v>243</v>
      </c>
      <c r="D34" s="383" t="s">
        <v>249</v>
      </c>
      <c r="E34" s="384">
        <v>840</v>
      </c>
      <c r="F34" s="385">
        <v>2150</v>
      </c>
      <c r="G34" s="386">
        <f>E34*F34</f>
        <v>1806000</v>
      </c>
      <c r="H34" s="387">
        <f>G34*1.2</f>
        <v>2167200</v>
      </c>
      <c r="M34"/>
      <c r="T34"/>
    </row>
    <row r="35" spans="1:21" ht="17.100000000000001" customHeight="1" thickBot="1">
      <c r="C35" s="266"/>
      <c r="D35" s="261"/>
      <c r="E35" s="262"/>
      <c r="F35" s="263"/>
      <c r="G35" s="264"/>
      <c r="H35" s="267"/>
      <c r="M35"/>
      <c r="T35"/>
    </row>
    <row r="36" spans="1:21" ht="16.5">
      <c r="C36" s="268" t="s">
        <v>139</v>
      </c>
      <c r="D36" s="269" t="s">
        <v>180</v>
      </c>
      <c r="E36" s="270"/>
      <c r="F36" s="271"/>
      <c r="G36" s="272">
        <f>SUM(G37:G39)</f>
        <v>813435</v>
      </c>
      <c r="H36" s="273">
        <f>SUM(H37:H39)</f>
        <v>976122</v>
      </c>
      <c r="T36"/>
    </row>
    <row r="37" spans="1:21" ht="16.5" outlineLevel="1">
      <c r="C37" s="260" t="s">
        <v>181</v>
      </c>
      <c r="D37" s="240" t="s">
        <v>208</v>
      </c>
      <c r="E37" s="356">
        <f>E8</f>
        <v>4648.2</v>
      </c>
      <c r="F37" s="357">
        <v>175</v>
      </c>
      <c r="G37" s="24">
        <f>F37*E37</f>
        <v>813435</v>
      </c>
      <c r="H37" s="274">
        <f>G37*1.2</f>
        <v>976122</v>
      </c>
      <c r="K37" s="328"/>
      <c r="L37" s="329"/>
      <c r="M37" s="328"/>
    </row>
    <row r="38" spans="1:21" ht="16.5" outlineLevel="1">
      <c r="C38" s="260" t="s">
        <v>182</v>
      </c>
      <c r="D38" s="240" t="s">
        <v>224</v>
      </c>
      <c r="E38" s="356">
        <v>2500</v>
      </c>
      <c r="F38" s="357">
        <v>180</v>
      </c>
      <c r="G38" s="24">
        <v>0</v>
      </c>
      <c r="H38" s="274">
        <f>G38*1.2</f>
        <v>0</v>
      </c>
      <c r="K38" s="328"/>
      <c r="L38" s="329"/>
      <c r="M38" s="328"/>
    </row>
    <row r="39" spans="1:21" ht="18.75" outlineLevel="1" thickBot="1">
      <c r="C39" s="260" t="s">
        <v>183</v>
      </c>
      <c r="D39" s="240" t="s">
        <v>213</v>
      </c>
      <c r="E39" s="356">
        <v>2900</v>
      </c>
      <c r="F39" s="357">
        <v>175</v>
      </c>
      <c r="G39" s="390">
        <v>0</v>
      </c>
      <c r="H39" s="274">
        <v>0</v>
      </c>
      <c r="K39" s="328"/>
      <c r="L39" s="329"/>
      <c r="M39" s="328"/>
    </row>
    <row r="40" spans="1:21" ht="16.5" thickBot="1">
      <c r="C40" s="275"/>
      <c r="D40" s="276"/>
      <c r="E40" s="277"/>
      <c r="F40" s="278"/>
      <c r="G40" s="279"/>
      <c r="H40" s="280"/>
    </row>
    <row r="41" spans="1:21" s="245" customFormat="1" ht="18.75" thickBot="1">
      <c r="A41"/>
      <c r="B41"/>
      <c r="C41" s="503" t="s">
        <v>214</v>
      </c>
      <c r="D41" s="504"/>
      <c r="E41" s="504"/>
      <c r="F41" s="504"/>
      <c r="G41" s="163">
        <f>+G36+G8</f>
        <v>12668435</v>
      </c>
      <c r="H41" s="163">
        <f>+H8+H36</f>
        <v>15202122</v>
      </c>
      <c r="I41"/>
      <c r="J41"/>
      <c r="K41"/>
      <c r="L41"/>
      <c r="N41"/>
      <c r="O41"/>
      <c r="P41"/>
      <c r="Q41"/>
      <c r="R41"/>
      <c r="S41"/>
      <c r="U41"/>
    </row>
    <row r="42" spans="1:21" s="245" customFormat="1" ht="16.5" thickBot="1">
      <c r="A42"/>
      <c r="B42"/>
      <c r="C42"/>
      <c r="D42"/>
      <c r="E42" s="281"/>
      <c r="F42" s="282"/>
      <c r="G42" s="235"/>
      <c r="H42" s="235"/>
      <c r="I42"/>
      <c r="J42"/>
      <c r="K42"/>
      <c r="L42"/>
      <c r="N42"/>
      <c r="O42"/>
      <c r="P42"/>
      <c r="Q42"/>
      <c r="R42"/>
      <c r="S42"/>
      <c r="U42"/>
    </row>
    <row r="43" spans="1:21" s="245" customFormat="1" ht="15.75">
      <c r="A43"/>
      <c r="B43"/>
      <c r="C43" s="283" t="s">
        <v>144</v>
      </c>
      <c r="D43" s="284" t="s">
        <v>185</v>
      </c>
      <c r="E43" s="285"/>
      <c r="F43" s="286">
        <f>SUM(F44:F50)</f>
        <v>0.18520000000000003</v>
      </c>
      <c r="G43" s="287">
        <f>+SUM(G44:G50)</f>
        <v>2346194.1619999995</v>
      </c>
      <c r="H43" s="288">
        <f>SUM(H44:H50)</f>
        <v>2815432.9943999997</v>
      </c>
      <c r="I43"/>
      <c r="J43"/>
      <c r="K43"/>
      <c r="L43"/>
      <c r="N43"/>
      <c r="O43"/>
      <c r="P43"/>
      <c r="Q43"/>
      <c r="R43"/>
      <c r="S43"/>
      <c r="U43"/>
    </row>
    <row r="44" spans="1:21" s="245" customFormat="1" ht="16.5">
      <c r="A44"/>
      <c r="B44"/>
      <c r="C44" s="260" t="s">
        <v>181</v>
      </c>
      <c r="D44" s="240" t="s">
        <v>112</v>
      </c>
      <c r="E44" s="39"/>
      <c r="F44" s="289">
        <v>0.13</v>
      </c>
      <c r="G44" s="24">
        <f>$G$41*F44</f>
        <v>1646896.55</v>
      </c>
      <c r="H44" s="274">
        <f t="shared" ref="H44:H50" si="6">G44*1.2</f>
        <v>1976275.8599999999</v>
      </c>
      <c r="I44"/>
      <c r="J44"/>
      <c r="K44"/>
      <c r="L44"/>
      <c r="N44"/>
      <c r="O44"/>
      <c r="P44"/>
      <c r="Q44"/>
      <c r="R44"/>
      <c r="S44"/>
      <c r="U44"/>
    </row>
    <row r="45" spans="1:21" s="245" customFormat="1" ht="16.5">
      <c r="A45"/>
      <c r="B45"/>
      <c r="C45" s="290" t="s">
        <v>182</v>
      </c>
      <c r="D45" s="291" t="s">
        <v>186</v>
      </c>
      <c r="E45" s="39"/>
      <c r="F45" s="292">
        <f>+G45/G41</f>
        <v>5.2000000000000006E-3</v>
      </c>
      <c r="G45" s="24">
        <f>G44*0.05*0.8</f>
        <v>65875.862000000008</v>
      </c>
      <c r="H45" s="274">
        <f t="shared" si="6"/>
        <v>79051.034400000004</v>
      </c>
      <c r="I45"/>
      <c r="J45"/>
      <c r="K45" s="330"/>
      <c r="L45" s="331"/>
      <c r="N45"/>
      <c r="O45"/>
      <c r="P45"/>
      <c r="Q45"/>
      <c r="R45"/>
      <c r="S45"/>
      <c r="U45"/>
    </row>
    <row r="46" spans="1:21" s="245" customFormat="1" ht="16.5">
      <c r="A46"/>
      <c r="B46"/>
      <c r="C46" s="260" t="s">
        <v>183</v>
      </c>
      <c r="D46" s="240" t="s">
        <v>114</v>
      </c>
      <c r="E46" s="39"/>
      <c r="F46" s="289">
        <v>0.02</v>
      </c>
      <c r="G46" s="24">
        <f>$G$41*F46</f>
        <v>253368.7</v>
      </c>
      <c r="H46" s="274">
        <f t="shared" si="6"/>
        <v>304042.44</v>
      </c>
      <c r="I46"/>
      <c r="J46"/>
      <c r="K46"/>
      <c r="L46"/>
      <c r="N46"/>
      <c r="O46"/>
      <c r="P46"/>
      <c r="Q46"/>
      <c r="R46"/>
      <c r="S46"/>
      <c r="U46"/>
    </row>
    <row r="47" spans="1:21" s="245" customFormat="1" ht="16.5">
      <c r="A47"/>
      <c r="B47"/>
      <c r="C47" s="260" t="s">
        <v>187</v>
      </c>
      <c r="D47" s="240" t="s">
        <v>188</v>
      </c>
      <c r="E47" s="39"/>
      <c r="F47" s="289">
        <v>5.0000000000000001E-3</v>
      </c>
      <c r="G47" s="24">
        <f>$G$41*F47</f>
        <v>63342.175000000003</v>
      </c>
      <c r="H47" s="274">
        <f t="shared" si="6"/>
        <v>76010.61</v>
      </c>
      <c r="I47"/>
      <c r="J47"/>
      <c r="K47"/>
      <c r="L47"/>
      <c r="N47"/>
      <c r="O47"/>
      <c r="P47"/>
      <c r="Q47"/>
      <c r="R47"/>
      <c r="S47"/>
      <c r="U47"/>
    </row>
    <row r="48" spans="1:21" s="245" customFormat="1" ht="16.5">
      <c r="A48"/>
      <c r="B48"/>
      <c r="C48" s="260" t="s">
        <v>189</v>
      </c>
      <c r="D48" s="240" t="s">
        <v>115</v>
      </c>
      <c r="E48" s="39"/>
      <c r="F48" s="289">
        <v>1.4999999999999999E-2</v>
      </c>
      <c r="G48" s="24">
        <f>$G$41*F48</f>
        <v>190026.52499999999</v>
      </c>
      <c r="H48" s="274">
        <f t="shared" si="6"/>
        <v>228031.83</v>
      </c>
      <c r="I48"/>
      <c r="J48"/>
      <c r="K48"/>
      <c r="L48"/>
      <c r="N48"/>
      <c r="O48"/>
      <c r="P48"/>
      <c r="Q48"/>
      <c r="R48"/>
      <c r="S48"/>
      <c r="U48"/>
    </row>
    <row r="49" spans="1:21" s="245" customFormat="1" ht="16.5">
      <c r="A49"/>
      <c r="B49"/>
      <c r="C49" s="260" t="s">
        <v>190</v>
      </c>
      <c r="D49" s="240" t="s">
        <v>116</v>
      </c>
      <c r="E49" s="39"/>
      <c r="F49" s="289">
        <v>5.0000000000000001E-3</v>
      </c>
      <c r="G49" s="24">
        <f>$G$41*F49</f>
        <v>63342.175000000003</v>
      </c>
      <c r="H49" s="274">
        <f t="shared" si="6"/>
        <v>76010.61</v>
      </c>
      <c r="I49"/>
      <c r="J49"/>
      <c r="K49"/>
      <c r="L49"/>
      <c r="N49"/>
      <c r="O49"/>
      <c r="P49"/>
      <c r="Q49"/>
      <c r="R49"/>
      <c r="S49"/>
      <c r="U49"/>
    </row>
    <row r="50" spans="1:21" s="245" customFormat="1" ht="17.25" thickBot="1">
      <c r="A50"/>
      <c r="B50"/>
      <c r="C50" s="265" t="s">
        <v>191</v>
      </c>
      <c r="D50" s="199" t="s">
        <v>117</v>
      </c>
      <c r="E50" s="54"/>
      <c r="F50" s="293">
        <v>5.0000000000000001E-3</v>
      </c>
      <c r="G50" s="59">
        <f>$G$41*F50</f>
        <v>63342.175000000003</v>
      </c>
      <c r="H50" s="294">
        <f t="shared" si="6"/>
        <v>76010.61</v>
      </c>
      <c r="I50"/>
      <c r="J50"/>
      <c r="K50"/>
      <c r="L50"/>
      <c r="N50"/>
      <c r="O50"/>
      <c r="P50"/>
      <c r="Q50"/>
      <c r="R50"/>
      <c r="S50"/>
      <c r="U50"/>
    </row>
    <row r="51" spans="1:21" s="245" customFormat="1" ht="15.75">
      <c r="A51"/>
      <c r="B51"/>
      <c r="C51" s="39"/>
      <c r="D51" s="39"/>
      <c r="E51" s="39"/>
      <c r="F51" s="289"/>
      <c r="G51" s="24"/>
      <c r="H51" s="251"/>
      <c r="I51"/>
      <c r="J51"/>
      <c r="K51"/>
      <c r="L51"/>
      <c r="N51"/>
      <c r="O51"/>
      <c r="P51"/>
      <c r="Q51"/>
      <c r="R51"/>
      <c r="S51"/>
      <c r="U51"/>
    </row>
    <row r="52" spans="1:21" s="245" customFormat="1" ht="16.5">
      <c r="A52"/>
      <c r="B52"/>
      <c r="C52" s="359" t="s">
        <v>145</v>
      </c>
      <c r="D52" s="360" t="s">
        <v>192</v>
      </c>
      <c r="E52" s="361"/>
      <c r="F52" s="362"/>
      <c r="G52" s="363">
        <f>SUM(G53:G58)</f>
        <v>951076.92249999999</v>
      </c>
      <c r="H52" s="364">
        <f>SUM(H53:H58)</f>
        <v>1075955.4370000002</v>
      </c>
      <c r="I52"/>
      <c r="J52" s="301"/>
      <c r="K52"/>
      <c r="L52"/>
      <c r="N52"/>
      <c r="O52"/>
      <c r="P52"/>
      <c r="Q52"/>
      <c r="R52"/>
      <c r="S52"/>
      <c r="U52"/>
    </row>
    <row r="53" spans="1:21" s="245" customFormat="1" ht="16.5">
      <c r="A53"/>
      <c r="B53"/>
      <c r="C53" s="365" t="s">
        <v>146</v>
      </c>
      <c r="D53" s="240" t="s">
        <v>119</v>
      </c>
      <c r="E53" s="39"/>
      <c r="F53" s="289">
        <v>2E-3</v>
      </c>
      <c r="G53" s="24">
        <f>F53*$G$41</f>
        <v>25336.87</v>
      </c>
      <c r="H53" s="366">
        <f>G53*1.2</f>
        <v>30404.243999999999</v>
      </c>
      <c r="I53"/>
      <c r="J53"/>
      <c r="K53"/>
      <c r="L53"/>
      <c r="N53"/>
      <c r="O53"/>
      <c r="P53"/>
      <c r="Q53"/>
      <c r="R53"/>
      <c r="S53"/>
      <c r="U53"/>
    </row>
    <row r="54" spans="1:21" s="245" customFormat="1" ht="16.5">
      <c r="A54"/>
      <c r="B54"/>
      <c r="C54" s="365" t="s">
        <v>147</v>
      </c>
      <c r="D54" s="240" t="s">
        <v>120</v>
      </c>
      <c r="E54" s="39"/>
      <c r="F54" s="289">
        <v>4.0000000000000001E-3</v>
      </c>
      <c r="G54" s="24">
        <f>+F54*G41</f>
        <v>50673.74</v>
      </c>
      <c r="H54" s="366">
        <f>G54*1.2</f>
        <v>60808.487999999998</v>
      </c>
      <c r="I54"/>
      <c r="J54"/>
      <c r="K54"/>
      <c r="L54"/>
      <c r="N54"/>
      <c r="O54"/>
      <c r="P54"/>
      <c r="Q54"/>
      <c r="R54"/>
      <c r="S54"/>
      <c r="U54"/>
    </row>
    <row r="55" spans="1:21" s="245" customFormat="1" ht="16.5">
      <c r="A55"/>
      <c r="B55"/>
      <c r="C55" s="365" t="s">
        <v>148</v>
      </c>
      <c r="D55" s="240" t="s">
        <v>121</v>
      </c>
      <c r="E55" s="39"/>
      <c r="F55" s="289">
        <v>0.01</v>
      </c>
      <c r="G55" s="24">
        <f>+F55*G41</f>
        <v>126684.35</v>
      </c>
      <c r="H55" s="366">
        <f>G55*1.2</f>
        <v>152021.22</v>
      </c>
      <c r="I55"/>
      <c r="J55"/>
      <c r="K55"/>
      <c r="L55"/>
      <c r="N55"/>
      <c r="O55"/>
      <c r="P55"/>
      <c r="Q55"/>
      <c r="R55"/>
      <c r="S55"/>
      <c r="U55"/>
    </row>
    <row r="56" spans="1:21" s="245" customFormat="1" ht="18.95" customHeight="1">
      <c r="A56"/>
      <c r="B56"/>
      <c r="C56" s="365" t="s">
        <v>149</v>
      </c>
      <c r="D56" s="240" t="s">
        <v>207</v>
      </c>
      <c r="E56" s="39"/>
      <c r="F56" s="289">
        <v>0.02</v>
      </c>
      <c r="G56" s="24">
        <f>F56*$G$41</f>
        <v>253368.7</v>
      </c>
      <c r="H56" s="366">
        <f>+G56*1.1</f>
        <v>278705.57</v>
      </c>
      <c r="I56"/>
      <c r="J56"/>
      <c r="K56"/>
      <c r="L56"/>
      <c r="N56"/>
      <c r="O56"/>
      <c r="P56"/>
      <c r="Q56"/>
      <c r="R56"/>
      <c r="S56"/>
      <c r="U56"/>
    </row>
    <row r="57" spans="1:21" s="245" customFormat="1" ht="18.95" customHeight="1">
      <c r="A57"/>
      <c r="B57"/>
      <c r="C57" s="365" t="s">
        <v>150</v>
      </c>
      <c r="D57" s="240" t="s">
        <v>233</v>
      </c>
      <c r="E57" s="39"/>
      <c r="F57" s="289"/>
      <c r="G57" s="24">
        <v>400000</v>
      </c>
      <c r="H57" s="366">
        <f>+G57*1.1</f>
        <v>440000.00000000006</v>
      </c>
      <c r="I57"/>
      <c r="J57"/>
      <c r="K57"/>
      <c r="L57"/>
      <c r="N57"/>
      <c r="O57"/>
      <c r="P57"/>
      <c r="Q57"/>
      <c r="R57"/>
      <c r="S57"/>
      <c r="U57"/>
    </row>
    <row r="58" spans="1:21" ht="16.5">
      <c r="C58" s="367" t="s">
        <v>151</v>
      </c>
      <c r="D58" s="368" t="s">
        <v>194</v>
      </c>
      <c r="E58" s="369"/>
      <c r="F58" s="370">
        <v>7.4999999999999997E-3</v>
      </c>
      <c r="G58" s="371">
        <f>F58*$G$41</f>
        <v>95013.262499999997</v>
      </c>
      <c r="H58" s="372">
        <f>G58*1.2</f>
        <v>114015.91499999999</v>
      </c>
    </row>
    <row r="59" spans="1:21" ht="17.25" thickBot="1">
      <c r="C59" s="42"/>
      <c r="D59" s="42"/>
      <c r="E59" s="39"/>
      <c r="F59" s="289"/>
      <c r="G59" s="24"/>
      <c r="H59" s="251"/>
    </row>
    <row r="60" spans="1:21" ht="18.75" thickBot="1">
      <c r="C60" s="503" t="s">
        <v>206</v>
      </c>
      <c r="D60" s="504"/>
      <c r="E60" s="504"/>
      <c r="F60" s="504"/>
      <c r="G60" s="163">
        <f>G41+G43+G52</f>
        <v>15965706.0845</v>
      </c>
      <c r="H60" s="163">
        <f>H41+H43+H52</f>
        <v>19093510.431399997</v>
      </c>
    </row>
    <row r="61" spans="1:21" ht="16.5" thickBot="1">
      <c r="G61" s="45"/>
      <c r="H61" s="302"/>
    </row>
    <row r="62" spans="1:21" ht="15.75">
      <c r="C62" s="200" t="s">
        <v>153</v>
      </c>
      <c r="D62" s="201" t="s">
        <v>195</v>
      </c>
      <c r="E62" s="202"/>
      <c r="F62" s="303">
        <f>SUM(F63:F65)</f>
        <v>0.125</v>
      </c>
      <c r="G62" s="204">
        <f>SUM(G63,G64)</f>
        <v>1748417.9292250001</v>
      </c>
      <c r="H62" s="304">
        <f>SUM(H63,H64)</f>
        <v>2098101.5150699997</v>
      </c>
      <c r="I62" s="305"/>
    </row>
    <row r="63" spans="1:21" ht="16.5">
      <c r="C63" s="260" t="s">
        <v>154</v>
      </c>
      <c r="D63" s="240" t="s">
        <v>216</v>
      </c>
      <c r="E63" s="39"/>
      <c r="F63" s="306">
        <v>7.4999999999999997E-2</v>
      </c>
      <c r="G63" s="24">
        <f>G41*F63</f>
        <v>950132.625</v>
      </c>
      <c r="H63" s="274">
        <f>G63*1.2</f>
        <v>1140159.1499999999</v>
      </c>
      <c r="I63" s="307"/>
    </row>
    <row r="64" spans="1:21" ht="17.25" thickBot="1">
      <c r="C64" s="265" t="s">
        <v>155</v>
      </c>
      <c r="D64" s="199" t="s">
        <v>203</v>
      </c>
      <c r="E64" s="54"/>
      <c r="F64" s="308">
        <v>0.05</v>
      </c>
      <c r="G64" s="59">
        <f>G60*F64</f>
        <v>798285.30422500009</v>
      </c>
      <c r="H64" s="294">
        <f>G64*1.2</f>
        <v>957942.36507000006</v>
      </c>
    </row>
    <row r="65" spans="3:20" ht="16.5" thickBot="1">
      <c r="C65" s="54"/>
      <c r="D65" s="54"/>
      <c r="E65" s="54"/>
      <c r="F65" s="309"/>
      <c r="G65" s="59"/>
      <c r="H65" s="310"/>
    </row>
    <row r="66" spans="3:20" ht="21" thickBot="1">
      <c r="C66" s="505" t="s">
        <v>221</v>
      </c>
      <c r="D66" s="506"/>
      <c r="E66" s="506"/>
      <c r="F66" s="507"/>
      <c r="G66" s="109"/>
      <c r="H66" s="311">
        <f>+H60+H62</f>
        <v>21191611.946469996</v>
      </c>
    </row>
    <row r="67" spans="3:20" ht="15.75">
      <c r="C67" t="s">
        <v>222</v>
      </c>
      <c r="F67" s="312"/>
      <c r="G67" s="313" t="s">
        <v>200</v>
      </c>
      <c r="H67" s="314">
        <v>20000000</v>
      </c>
    </row>
    <row r="68" spans="3:20" ht="15.75" thickBot="1">
      <c r="G68" s="62" t="s">
        <v>196</v>
      </c>
      <c r="H68" s="315">
        <f>+H67-H66</f>
        <v>-1191611.9464699961</v>
      </c>
    </row>
    <row r="72" spans="3:20" ht="24">
      <c r="C72" s="508"/>
      <c r="D72" s="508"/>
      <c r="E72" s="508"/>
      <c r="F72" s="508"/>
      <c r="G72" s="508"/>
    </row>
    <row r="73" spans="3:20" ht="25.5">
      <c r="C73" s="220"/>
      <c r="D73" s="220"/>
      <c r="E73" s="220"/>
      <c r="F73" s="246"/>
      <c r="G73" s="220"/>
      <c r="K73" s="245"/>
      <c r="M73"/>
      <c r="R73" s="245"/>
      <c r="T73"/>
    </row>
    <row r="74" spans="3:20">
      <c r="K74" s="245"/>
      <c r="M74"/>
      <c r="R74" s="245"/>
      <c r="T74"/>
    </row>
    <row r="75" spans="3:20">
      <c r="K75" s="245"/>
      <c r="M75"/>
      <c r="R75" s="245"/>
      <c r="T75"/>
    </row>
    <row r="76" spans="3:20">
      <c r="K76" s="245"/>
      <c r="M76"/>
      <c r="R76" s="245"/>
      <c r="T76"/>
    </row>
    <row r="77" spans="3:20">
      <c r="K77" s="245"/>
      <c r="M77"/>
      <c r="R77" s="245"/>
      <c r="T77"/>
    </row>
    <row r="78" spans="3:20">
      <c r="K78" s="245"/>
      <c r="M78"/>
      <c r="R78" s="245"/>
      <c r="T78"/>
    </row>
    <row r="79" spans="3:20">
      <c r="K79" s="245"/>
      <c r="M79"/>
      <c r="R79" s="245"/>
      <c r="T79"/>
    </row>
  </sheetData>
  <mergeCells count="7">
    <mergeCell ref="C72:G72"/>
    <mergeCell ref="C3:G3"/>
    <mergeCell ref="Q3:U3"/>
    <mergeCell ref="C6:D6"/>
    <mergeCell ref="C41:F41"/>
    <mergeCell ref="C60:F60"/>
    <mergeCell ref="C66:F66"/>
  </mergeCells>
  <conditionalFormatting sqref="H68">
    <cfRule type="cellIs" dxfId="1" priority="1" operator="lessThan">
      <formula>0</formula>
    </cfRule>
    <cfRule type="cellIs" dxfId="0" priority="2" operator="greaterThanOrEqual">
      <formula>0</formula>
    </cfRule>
  </conditionalFormatting>
  <pageMargins left="0.7" right="0.7" top="0.75" bottom="0.75" header="0.3" footer="0.3"/>
  <pageSetup paperSize="9" scale="46"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0"/>
  <sheetViews>
    <sheetView showGridLines="0" workbookViewId="0">
      <selection activeCell="B20" sqref="B20:K20"/>
    </sheetView>
  </sheetViews>
  <sheetFormatPr baseColWidth="10" defaultRowHeight="15"/>
  <cols>
    <col min="1" max="1" width="2.42578125" style="1" customWidth="1"/>
    <col min="10" max="11" width="16.42578125" customWidth="1"/>
    <col min="24" max="25" width="16.7109375" customWidth="1"/>
  </cols>
  <sheetData>
    <row r="1" spans="2:25" ht="15.75" thickBot="1"/>
    <row r="2" spans="2:25" s="1" customFormat="1" ht="24.95" customHeight="1" thickBot="1">
      <c r="B2" s="567" t="s">
        <v>71</v>
      </c>
      <c r="C2" s="568"/>
      <c r="D2" s="568"/>
      <c r="E2" s="568"/>
      <c r="F2" s="568"/>
      <c r="G2" s="568"/>
      <c r="H2" s="568"/>
      <c r="I2" s="568"/>
      <c r="J2" s="568"/>
      <c r="K2" s="569"/>
      <c r="P2" s="567" t="s">
        <v>72</v>
      </c>
      <c r="Q2" s="568"/>
      <c r="R2" s="568"/>
      <c r="S2" s="568"/>
      <c r="T2" s="568"/>
      <c r="U2" s="568"/>
      <c r="V2" s="568"/>
      <c r="W2" s="568"/>
      <c r="X2" s="568"/>
      <c r="Y2" s="569"/>
    </row>
    <row r="3" spans="2:25" s="1" customFormat="1" ht="15.75" thickBot="1">
      <c r="B3" s="556" t="s">
        <v>0</v>
      </c>
      <c r="C3" s="557"/>
      <c r="D3" s="556" t="s">
        <v>1</v>
      </c>
      <c r="E3" s="558"/>
      <c r="F3" s="556" t="s">
        <v>2</v>
      </c>
      <c r="G3" s="558"/>
      <c r="H3" s="556" t="s">
        <v>3</v>
      </c>
      <c r="I3" s="558"/>
      <c r="J3" s="556" t="s">
        <v>24</v>
      </c>
      <c r="K3" s="558"/>
      <c r="P3" s="556" t="s">
        <v>0</v>
      </c>
      <c r="Q3" s="557"/>
      <c r="R3" s="556" t="s">
        <v>1</v>
      </c>
      <c r="S3" s="558"/>
      <c r="T3" s="556" t="s">
        <v>2</v>
      </c>
      <c r="U3" s="558"/>
      <c r="V3" s="556" t="s">
        <v>3</v>
      </c>
      <c r="W3" s="558"/>
      <c r="X3" s="556" t="s">
        <v>24</v>
      </c>
      <c r="Y3" s="558"/>
    </row>
    <row r="4" spans="2:25" s="1" customFormat="1" ht="15.75" thickBot="1">
      <c r="B4" s="3"/>
      <c r="C4" s="3"/>
      <c r="D4" s="3"/>
      <c r="E4" s="3"/>
      <c r="F4" s="3"/>
      <c r="G4" s="3"/>
      <c r="H4" s="3"/>
      <c r="I4" s="3"/>
      <c r="P4" s="3"/>
      <c r="Q4" s="3"/>
      <c r="R4" s="3"/>
      <c r="S4" s="3"/>
      <c r="T4" s="3"/>
      <c r="U4" s="3"/>
      <c r="V4" s="3"/>
      <c r="W4" s="3"/>
    </row>
    <row r="5" spans="2:25" s="1" customFormat="1" ht="23.45" customHeight="1" thickBot="1">
      <c r="B5" s="553" t="s">
        <v>28</v>
      </c>
      <c r="C5" s="554"/>
      <c r="D5" s="554"/>
      <c r="E5" s="554"/>
      <c r="F5" s="554"/>
      <c r="G5" s="554"/>
      <c r="H5" s="554"/>
      <c r="I5" s="554"/>
      <c r="J5" s="554"/>
      <c r="K5" s="555"/>
      <c r="P5" s="553" t="s">
        <v>28</v>
      </c>
      <c r="Q5" s="554"/>
      <c r="R5" s="554"/>
      <c r="S5" s="554"/>
      <c r="T5" s="554"/>
      <c r="U5" s="554"/>
      <c r="V5" s="554"/>
      <c r="W5" s="554"/>
      <c r="X5" s="554"/>
      <c r="Y5" s="555"/>
    </row>
    <row r="6" spans="2:25" s="1" customFormat="1" ht="14.1" customHeight="1">
      <c r="B6" s="570" t="s">
        <v>4</v>
      </c>
      <c r="C6" s="571"/>
      <c r="D6" s="572">
        <v>0</v>
      </c>
      <c r="E6" s="573"/>
      <c r="F6" s="572">
        <v>15</v>
      </c>
      <c r="G6" s="573"/>
      <c r="H6" s="572">
        <f t="shared" ref="H6:H13" si="0">D6*F6</f>
        <v>0</v>
      </c>
      <c r="I6" s="573"/>
      <c r="J6" s="572"/>
      <c r="K6" s="573"/>
      <c r="P6" s="570" t="s">
        <v>4</v>
      </c>
      <c r="Q6" s="571"/>
      <c r="R6" s="572">
        <v>0</v>
      </c>
      <c r="S6" s="573"/>
      <c r="T6" s="572">
        <v>15</v>
      </c>
      <c r="U6" s="573"/>
      <c r="V6" s="572">
        <f t="shared" ref="V6:V13" si="1">R6*T6</f>
        <v>0</v>
      </c>
      <c r="W6" s="573"/>
      <c r="X6" s="572"/>
      <c r="Y6" s="573"/>
    </row>
    <row r="7" spans="2:25" s="1" customFormat="1" ht="14.25">
      <c r="B7" s="542" t="s">
        <v>5</v>
      </c>
      <c r="C7" s="543"/>
      <c r="D7" s="544">
        <v>1</v>
      </c>
      <c r="E7" s="545"/>
      <c r="F7" s="544">
        <v>15</v>
      </c>
      <c r="G7" s="545"/>
      <c r="H7" s="544">
        <f t="shared" si="0"/>
        <v>15</v>
      </c>
      <c r="I7" s="545"/>
      <c r="J7" s="544"/>
      <c r="K7" s="545"/>
      <c r="P7" s="542" t="s">
        <v>5</v>
      </c>
      <c r="Q7" s="543"/>
      <c r="R7" s="544">
        <v>1</v>
      </c>
      <c r="S7" s="545"/>
      <c r="T7" s="544">
        <v>20</v>
      </c>
      <c r="U7" s="545"/>
      <c r="V7" s="544">
        <f t="shared" si="1"/>
        <v>20</v>
      </c>
      <c r="W7" s="545"/>
      <c r="X7" s="544"/>
      <c r="Y7" s="545"/>
    </row>
    <row r="8" spans="2:25" s="1" customFormat="1" ht="27.95" customHeight="1">
      <c r="B8" s="542" t="s">
        <v>6</v>
      </c>
      <c r="C8" s="543"/>
      <c r="D8" s="544">
        <v>1</v>
      </c>
      <c r="E8" s="545"/>
      <c r="F8" s="544">
        <v>14</v>
      </c>
      <c r="G8" s="545"/>
      <c r="H8" s="544">
        <f t="shared" si="0"/>
        <v>14</v>
      </c>
      <c r="I8" s="545"/>
      <c r="J8" s="544" t="s">
        <v>27</v>
      </c>
      <c r="K8" s="545"/>
      <c r="P8" s="542" t="s">
        <v>6</v>
      </c>
      <c r="Q8" s="543"/>
      <c r="R8" s="544">
        <v>1</v>
      </c>
      <c r="S8" s="545"/>
      <c r="T8" s="544">
        <v>14</v>
      </c>
      <c r="U8" s="545"/>
      <c r="V8" s="544">
        <f t="shared" si="1"/>
        <v>14</v>
      </c>
      <c r="W8" s="545"/>
      <c r="X8" s="544" t="s">
        <v>27</v>
      </c>
      <c r="Y8" s="545"/>
    </row>
    <row r="9" spans="2:25" s="1" customFormat="1" ht="14.1" customHeight="1">
      <c r="B9" s="542" t="s">
        <v>7</v>
      </c>
      <c r="C9" s="543"/>
      <c r="D9" s="544">
        <v>1</v>
      </c>
      <c r="E9" s="545"/>
      <c r="F9" s="544">
        <v>12</v>
      </c>
      <c r="G9" s="545"/>
      <c r="H9" s="544">
        <f t="shared" si="0"/>
        <v>12</v>
      </c>
      <c r="I9" s="545"/>
      <c r="J9" s="566" t="s">
        <v>69</v>
      </c>
      <c r="K9" s="545"/>
      <c r="P9" s="542" t="s">
        <v>7</v>
      </c>
      <c r="Q9" s="543"/>
      <c r="R9" s="544">
        <v>1</v>
      </c>
      <c r="S9" s="545"/>
      <c r="T9" s="544">
        <v>12</v>
      </c>
      <c r="U9" s="545"/>
      <c r="V9" s="544">
        <f t="shared" si="1"/>
        <v>12</v>
      </c>
      <c r="W9" s="545"/>
      <c r="X9" s="566" t="s">
        <v>69</v>
      </c>
      <c r="Y9" s="545"/>
    </row>
    <row r="10" spans="2:25" s="1" customFormat="1" ht="18.600000000000001" customHeight="1">
      <c r="B10" s="542" t="s">
        <v>8</v>
      </c>
      <c r="C10" s="543"/>
      <c r="D10" s="544">
        <v>2</v>
      </c>
      <c r="E10" s="545"/>
      <c r="F10" s="544">
        <v>9</v>
      </c>
      <c r="G10" s="545"/>
      <c r="H10" s="544">
        <f t="shared" si="0"/>
        <v>18</v>
      </c>
      <c r="I10" s="545"/>
      <c r="J10" s="544" t="s">
        <v>70</v>
      </c>
      <c r="K10" s="545"/>
      <c r="P10" s="542" t="s">
        <v>8</v>
      </c>
      <c r="Q10" s="543"/>
      <c r="R10" s="544">
        <v>2</v>
      </c>
      <c r="S10" s="545"/>
      <c r="T10" s="544">
        <v>9</v>
      </c>
      <c r="U10" s="545"/>
      <c r="V10" s="544">
        <f t="shared" si="1"/>
        <v>18</v>
      </c>
      <c r="W10" s="545"/>
      <c r="X10" s="544" t="s">
        <v>70</v>
      </c>
      <c r="Y10" s="545"/>
    </row>
    <row r="11" spans="2:25" s="1" customFormat="1" ht="18.600000000000001" customHeight="1">
      <c r="B11" s="542" t="s">
        <v>9</v>
      </c>
      <c r="C11" s="543"/>
      <c r="D11" s="544">
        <v>1</v>
      </c>
      <c r="E11" s="545"/>
      <c r="F11" s="544">
        <v>5</v>
      </c>
      <c r="G11" s="545"/>
      <c r="H11" s="544">
        <f t="shared" si="0"/>
        <v>5</v>
      </c>
      <c r="I11" s="545"/>
      <c r="J11" s="544"/>
      <c r="K11" s="545"/>
      <c r="P11" s="542" t="s">
        <v>9</v>
      </c>
      <c r="Q11" s="543"/>
      <c r="R11" s="544">
        <v>1</v>
      </c>
      <c r="S11" s="545"/>
      <c r="T11" s="544">
        <v>5</v>
      </c>
      <c r="U11" s="545"/>
      <c r="V11" s="544">
        <f t="shared" si="1"/>
        <v>5</v>
      </c>
      <c r="W11" s="545"/>
      <c r="X11" s="544"/>
      <c r="Y11" s="545"/>
    </row>
    <row r="12" spans="2:25" s="1" customFormat="1" ht="30.6" customHeight="1">
      <c r="B12" s="542" t="s">
        <v>10</v>
      </c>
      <c r="C12" s="543"/>
      <c r="D12" s="544">
        <v>1</v>
      </c>
      <c r="E12" s="545"/>
      <c r="F12" s="544">
        <v>4</v>
      </c>
      <c r="G12" s="545"/>
      <c r="H12" s="544">
        <f t="shared" si="0"/>
        <v>4</v>
      </c>
      <c r="I12" s="545"/>
      <c r="J12" s="544"/>
      <c r="K12" s="545"/>
      <c r="P12" s="542" t="s">
        <v>10</v>
      </c>
      <c r="Q12" s="543"/>
      <c r="R12" s="544">
        <v>1</v>
      </c>
      <c r="S12" s="545"/>
      <c r="T12" s="544">
        <v>4</v>
      </c>
      <c r="U12" s="545"/>
      <c r="V12" s="544">
        <f t="shared" si="1"/>
        <v>4</v>
      </c>
      <c r="W12" s="545"/>
      <c r="X12" s="544"/>
      <c r="Y12" s="545"/>
    </row>
    <row r="13" spans="2:25" s="1" customFormat="1" ht="18.600000000000001" customHeight="1" thickBot="1">
      <c r="B13" s="542" t="s">
        <v>13</v>
      </c>
      <c r="C13" s="543"/>
      <c r="D13" s="544">
        <v>1</v>
      </c>
      <c r="E13" s="545"/>
      <c r="F13" s="544">
        <v>6</v>
      </c>
      <c r="G13" s="545"/>
      <c r="H13" s="544">
        <f t="shared" si="0"/>
        <v>6</v>
      </c>
      <c r="I13" s="545"/>
      <c r="J13" s="544"/>
      <c r="K13" s="545"/>
      <c r="P13" s="542" t="s">
        <v>13</v>
      </c>
      <c r="Q13" s="543"/>
      <c r="R13" s="544">
        <v>1</v>
      </c>
      <c r="S13" s="545"/>
      <c r="T13" s="544">
        <v>6</v>
      </c>
      <c r="U13" s="545"/>
      <c r="V13" s="544">
        <f t="shared" si="1"/>
        <v>6</v>
      </c>
      <c r="W13" s="545"/>
      <c r="X13" s="544"/>
      <c r="Y13" s="545"/>
    </row>
    <row r="14" spans="2:25" s="1" customFormat="1" ht="15.75" thickBot="1">
      <c r="B14" s="524" t="s">
        <v>12</v>
      </c>
      <c r="C14" s="525"/>
      <c r="D14" s="525"/>
      <c r="E14" s="525"/>
      <c r="F14" s="525"/>
      <c r="G14" s="526"/>
      <c r="H14" s="527">
        <f>SUM(H6:I13)</f>
        <v>74</v>
      </c>
      <c r="I14" s="528"/>
      <c r="J14" s="527">
        <f>H14*1.4</f>
        <v>103.6</v>
      </c>
      <c r="K14" s="528"/>
      <c r="P14" s="524" t="s">
        <v>12</v>
      </c>
      <c r="Q14" s="525"/>
      <c r="R14" s="525"/>
      <c r="S14" s="525"/>
      <c r="T14" s="525"/>
      <c r="U14" s="526"/>
      <c r="V14" s="527">
        <f>SUM(V6:W13)</f>
        <v>79</v>
      </c>
      <c r="W14" s="528"/>
      <c r="X14" s="527">
        <f>V14*1.4</f>
        <v>110.6</v>
      </c>
      <c r="Y14" s="528"/>
    </row>
    <row r="15" spans="2:25" ht="15.75" thickBot="1"/>
    <row r="16" spans="2:25" ht="15.75" thickBot="1">
      <c r="B16" s="553" t="s">
        <v>29</v>
      </c>
      <c r="C16" s="554"/>
      <c r="D16" s="554"/>
      <c r="E16" s="554"/>
      <c r="F16" s="554"/>
      <c r="G16" s="554"/>
      <c r="H16" s="554"/>
      <c r="I16" s="554"/>
      <c r="J16" s="554"/>
      <c r="K16" s="555"/>
      <c r="P16" s="553" t="s">
        <v>29</v>
      </c>
      <c r="Q16" s="554"/>
      <c r="R16" s="554"/>
      <c r="S16" s="554"/>
      <c r="T16" s="554"/>
      <c r="U16" s="554"/>
      <c r="V16" s="554"/>
      <c r="W16" s="554"/>
      <c r="X16" s="554"/>
      <c r="Y16" s="555"/>
    </row>
    <row r="17" spans="2:25" ht="15.75" thickBot="1">
      <c r="B17" s="563" t="s">
        <v>0</v>
      </c>
      <c r="C17" s="564"/>
      <c r="D17" s="563" t="s">
        <v>1</v>
      </c>
      <c r="E17" s="565"/>
      <c r="F17" s="563" t="s">
        <v>2</v>
      </c>
      <c r="G17" s="565"/>
      <c r="H17" s="563" t="s">
        <v>3</v>
      </c>
      <c r="I17" s="565"/>
      <c r="J17" s="556" t="s">
        <v>24</v>
      </c>
      <c r="K17" s="558"/>
      <c r="P17" s="563" t="s">
        <v>0</v>
      </c>
      <c r="Q17" s="564"/>
      <c r="R17" s="563" t="s">
        <v>1</v>
      </c>
      <c r="S17" s="565"/>
      <c r="T17" s="563" t="s">
        <v>2</v>
      </c>
      <c r="U17" s="565"/>
      <c r="V17" s="563" t="s">
        <v>3</v>
      </c>
      <c r="W17" s="565"/>
      <c r="X17" s="556" t="s">
        <v>24</v>
      </c>
      <c r="Y17" s="558"/>
    </row>
    <row r="18" spans="2:25">
      <c r="B18" s="559" t="s">
        <v>19</v>
      </c>
      <c r="C18" s="560"/>
      <c r="D18" s="561">
        <v>0</v>
      </c>
      <c r="E18" s="562"/>
      <c r="F18" s="561">
        <v>15</v>
      </c>
      <c r="G18" s="562"/>
      <c r="H18" s="561">
        <f t="shared" ref="H18:H26" si="2">D18*F18</f>
        <v>0</v>
      </c>
      <c r="I18" s="562"/>
      <c r="J18" s="561"/>
      <c r="K18" s="562"/>
      <c r="P18" s="559" t="s">
        <v>19</v>
      </c>
      <c r="Q18" s="560"/>
      <c r="R18" s="561">
        <v>0</v>
      </c>
      <c r="S18" s="562"/>
      <c r="T18" s="561">
        <v>15</v>
      </c>
      <c r="U18" s="562"/>
      <c r="V18" s="561">
        <f t="shared" ref="V18:V26" si="3">R18*T18</f>
        <v>0</v>
      </c>
      <c r="W18" s="562"/>
      <c r="X18" s="561"/>
      <c r="Y18" s="562"/>
    </row>
    <row r="19" spans="2:25">
      <c r="B19" s="542" t="s">
        <v>31</v>
      </c>
      <c r="C19" s="543"/>
      <c r="D19" s="544">
        <v>1</v>
      </c>
      <c r="E19" s="545"/>
      <c r="F19" s="544">
        <v>40</v>
      </c>
      <c r="G19" s="545"/>
      <c r="H19" s="544">
        <f t="shared" si="2"/>
        <v>40</v>
      </c>
      <c r="I19" s="545"/>
      <c r="J19" s="544"/>
      <c r="K19" s="545"/>
      <c r="P19" s="542" t="s">
        <v>31</v>
      </c>
      <c r="Q19" s="543"/>
      <c r="R19" s="544">
        <v>1</v>
      </c>
      <c r="S19" s="545"/>
      <c r="T19" s="544">
        <v>40</v>
      </c>
      <c r="U19" s="545"/>
      <c r="V19" s="544">
        <f t="shared" si="3"/>
        <v>40</v>
      </c>
      <c r="W19" s="545"/>
      <c r="X19" s="544"/>
      <c r="Y19" s="545"/>
    </row>
    <row r="20" spans="2:25">
      <c r="B20" s="542" t="s">
        <v>25</v>
      </c>
      <c r="C20" s="543"/>
      <c r="D20" s="544">
        <v>1</v>
      </c>
      <c r="E20" s="545"/>
      <c r="F20" s="544">
        <v>15</v>
      </c>
      <c r="G20" s="545"/>
      <c r="H20" s="544">
        <f t="shared" ref="H20" si="4">D20*F20</f>
        <v>15</v>
      </c>
      <c r="I20" s="545"/>
      <c r="J20" s="544"/>
      <c r="K20" s="545"/>
      <c r="P20" s="542" t="s">
        <v>25</v>
      </c>
      <c r="Q20" s="543"/>
      <c r="R20" s="544">
        <v>1</v>
      </c>
      <c r="S20" s="545"/>
      <c r="T20" s="544">
        <v>15</v>
      </c>
      <c r="U20" s="545"/>
      <c r="V20" s="544">
        <f t="shared" si="3"/>
        <v>15</v>
      </c>
      <c r="W20" s="545"/>
      <c r="X20" s="544"/>
      <c r="Y20" s="545"/>
    </row>
    <row r="21" spans="2:25">
      <c r="B21" s="542" t="s">
        <v>17</v>
      </c>
      <c r="C21" s="543"/>
      <c r="D21" s="544">
        <v>1</v>
      </c>
      <c r="E21" s="545"/>
      <c r="F21" s="544">
        <v>10</v>
      </c>
      <c r="G21" s="545"/>
      <c r="H21" s="544">
        <f t="shared" ref="H21" si="5">D21*F21</f>
        <v>10</v>
      </c>
      <c r="I21" s="545"/>
      <c r="J21" s="544"/>
      <c r="K21" s="545"/>
      <c r="P21" s="542" t="s">
        <v>17</v>
      </c>
      <c r="Q21" s="543"/>
      <c r="R21" s="544">
        <v>1</v>
      </c>
      <c r="S21" s="545"/>
      <c r="T21" s="544">
        <v>10</v>
      </c>
      <c r="U21" s="545"/>
      <c r="V21" s="544">
        <f t="shared" si="3"/>
        <v>10</v>
      </c>
      <c r="W21" s="545"/>
      <c r="X21" s="544"/>
      <c r="Y21" s="545"/>
    </row>
    <row r="22" spans="2:25" ht="28.5" customHeight="1">
      <c r="B22" s="542" t="s">
        <v>20</v>
      </c>
      <c r="C22" s="543"/>
      <c r="D22" s="544">
        <v>2</v>
      </c>
      <c r="E22" s="545"/>
      <c r="F22" s="544">
        <v>20</v>
      </c>
      <c r="G22" s="545"/>
      <c r="H22" s="544">
        <f t="shared" si="2"/>
        <v>40</v>
      </c>
      <c r="I22" s="545"/>
      <c r="J22" s="544" t="s">
        <v>32</v>
      </c>
      <c r="K22" s="545"/>
      <c r="P22" s="542" t="s">
        <v>20</v>
      </c>
      <c r="Q22" s="543"/>
      <c r="R22" s="544">
        <v>3</v>
      </c>
      <c r="S22" s="545"/>
      <c r="T22" s="544">
        <v>20</v>
      </c>
      <c r="U22" s="545"/>
      <c r="V22" s="544">
        <f t="shared" si="3"/>
        <v>60</v>
      </c>
      <c r="W22" s="545"/>
      <c r="X22" s="544" t="s">
        <v>32</v>
      </c>
      <c r="Y22" s="545"/>
    </row>
    <row r="23" spans="2:25" ht="23.45" customHeight="1">
      <c r="B23" s="542" t="s">
        <v>33</v>
      </c>
      <c r="C23" s="543"/>
      <c r="D23" s="544">
        <v>1</v>
      </c>
      <c r="E23" s="545"/>
      <c r="F23" s="544">
        <v>12</v>
      </c>
      <c r="G23" s="545"/>
      <c r="H23" s="544">
        <f t="shared" ref="H23" si="6">D23*F23</f>
        <v>12</v>
      </c>
      <c r="I23" s="545"/>
      <c r="J23" s="544"/>
      <c r="K23" s="545"/>
      <c r="P23" s="542" t="s">
        <v>33</v>
      </c>
      <c r="Q23" s="543"/>
      <c r="R23" s="544">
        <v>1</v>
      </c>
      <c r="S23" s="545"/>
      <c r="T23" s="544">
        <v>12</v>
      </c>
      <c r="U23" s="545"/>
      <c r="V23" s="544">
        <f t="shared" si="3"/>
        <v>12</v>
      </c>
      <c r="W23" s="545"/>
      <c r="X23" s="544"/>
      <c r="Y23" s="545"/>
    </row>
    <row r="24" spans="2:25" ht="14.45" customHeight="1">
      <c r="B24" s="559" t="s">
        <v>4</v>
      </c>
      <c r="C24" s="560"/>
      <c r="D24" s="561">
        <v>0</v>
      </c>
      <c r="E24" s="562"/>
      <c r="F24" s="561">
        <v>10</v>
      </c>
      <c r="G24" s="562"/>
      <c r="H24" s="561">
        <f t="shared" si="2"/>
        <v>0</v>
      </c>
      <c r="I24" s="562"/>
      <c r="J24" s="561"/>
      <c r="K24" s="562"/>
      <c r="P24" s="559" t="s">
        <v>4</v>
      </c>
      <c r="Q24" s="560"/>
      <c r="R24" s="561">
        <v>0</v>
      </c>
      <c r="S24" s="562"/>
      <c r="T24" s="561">
        <v>10</v>
      </c>
      <c r="U24" s="562"/>
      <c r="V24" s="561">
        <f t="shared" si="3"/>
        <v>0</v>
      </c>
      <c r="W24" s="562"/>
      <c r="X24" s="561"/>
      <c r="Y24" s="562"/>
    </row>
    <row r="25" spans="2:25">
      <c r="B25" s="542" t="s">
        <v>5</v>
      </c>
      <c r="C25" s="543"/>
      <c r="D25" s="544">
        <v>1</v>
      </c>
      <c r="E25" s="545"/>
      <c r="F25" s="544">
        <v>10</v>
      </c>
      <c r="G25" s="545"/>
      <c r="H25" s="544">
        <f t="shared" si="2"/>
        <v>10</v>
      </c>
      <c r="I25" s="545"/>
      <c r="J25" s="544"/>
      <c r="K25" s="545"/>
      <c r="P25" s="542" t="s">
        <v>5</v>
      </c>
      <c r="Q25" s="543"/>
      <c r="R25" s="544">
        <v>1</v>
      </c>
      <c r="S25" s="545"/>
      <c r="T25" s="544">
        <v>15</v>
      </c>
      <c r="U25" s="545"/>
      <c r="V25" s="544">
        <f t="shared" si="3"/>
        <v>15</v>
      </c>
      <c r="W25" s="545"/>
      <c r="X25" s="544"/>
      <c r="Y25" s="545"/>
    </row>
    <row r="26" spans="2:25" ht="14.45" customHeight="1">
      <c r="B26" s="542" t="s">
        <v>6</v>
      </c>
      <c r="C26" s="543"/>
      <c r="D26" s="544">
        <v>1</v>
      </c>
      <c r="E26" s="545"/>
      <c r="F26" s="544">
        <v>10</v>
      </c>
      <c r="G26" s="545"/>
      <c r="H26" s="544">
        <f t="shared" si="2"/>
        <v>10</v>
      </c>
      <c r="I26" s="545"/>
      <c r="J26" s="544"/>
      <c r="K26" s="545"/>
      <c r="P26" s="542" t="s">
        <v>6</v>
      </c>
      <c r="Q26" s="543"/>
      <c r="R26" s="544">
        <v>1</v>
      </c>
      <c r="S26" s="545"/>
      <c r="T26" s="544">
        <v>14</v>
      </c>
      <c r="U26" s="545"/>
      <c r="V26" s="544">
        <f t="shared" si="3"/>
        <v>14</v>
      </c>
      <c r="W26" s="545"/>
      <c r="X26" s="544"/>
      <c r="Y26" s="545"/>
    </row>
    <row r="27" spans="2:25">
      <c r="B27" s="542" t="s">
        <v>18</v>
      </c>
      <c r="C27" s="543"/>
      <c r="D27" s="544">
        <v>2</v>
      </c>
      <c r="E27" s="545"/>
      <c r="F27" s="544">
        <v>6</v>
      </c>
      <c r="G27" s="545"/>
      <c r="H27" s="544">
        <f>D27*F27</f>
        <v>12</v>
      </c>
      <c r="I27" s="545"/>
      <c r="J27" s="544"/>
      <c r="K27" s="545"/>
      <c r="P27" s="542" t="s">
        <v>18</v>
      </c>
      <c r="Q27" s="543"/>
      <c r="R27" s="544">
        <v>2</v>
      </c>
      <c r="S27" s="545"/>
      <c r="T27" s="544">
        <v>6</v>
      </c>
      <c r="U27" s="545"/>
      <c r="V27" s="544">
        <f>R27*T27</f>
        <v>12</v>
      </c>
      <c r="W27" s="545"/>
      <c r="X27" s="544"/>
      <c r="Y27" s="545"/>
    </row>
    <row r="28" spans="2:25" ht="15.75" thickBot="1">
      <c r="B28" s="542" t="s">
        <v>23</v>
      </c>
      <c r="C28" s="543"/>
      <c r="D28" s="544">
        <v>2</v>
      </c>
      <c r="E28" s="545"/>
      <c r="F28" s="544">
        <v>4</v>
      </c>
      <c r="G28" s="545"/>
      <c r="H28" s="544">
        <f>D28*F28</f>
        <v>8</v>
      </c>
      <c r="I28" s="545"/>
      <c r="J28" s="544"/>
      <c r="K28" s="545"/>
      <c r="P28" s="542" t="s">
        <v>23</v>
      </c>
      <c r="Q28" s="543"/>
      <c r="R28" s="544">
        <v>2</v>
      </c>
      <c r="S28" s="545"/>
      <c r="T28" s="544">
        <v>4</v>
      </c>
      <c r="U28" s="545"/>
      <c r="V28" s="544">
        <f>R28*T28</f>
        <v>8</v>
      </c>
      <c r="W28" s="545"/>
      <c r="X28" s="544"/>
      <c r="Y28" s="545"/>
    </row>
    <row r="29" spans="2:25" ht="15.75" thickBot="1">
      <c r="B29" s="524" t="s">
        <v>12</v>
      </c>
      <c r="C29" s="525"/>
      <c r="D29" s="525"/>
      <c r="E29" s="525"/>
      <c r="F29" s="525"/>
      <c r="G29" s="526"/>
      <c r="H29" s="527">
        <f>SUM(H18:I28)</f>
        <v>157</v>
      </c>
      <c r="I29" s="528"/>
      <c r="J29" s="527">
        <f>H29*1.5</f>
        <v>235.5</v>
      </c>
      <c r="K29" s="528"/>
      <c r="P29" s="524" t="s">
        <v>12</v>
      </c>
      <c r="Q29" s="525"/>
      <c r="R29" s="525"/>
      <c r="S29" s="525"/>
      <c r="T29" s="525"/>
      <c r="U29" s="526"/>
      <c r="V29" s="527">
        <f>SUM(V18:W28)</f>
        <v>186</v>
      </c>
      <c r="W29" s="528"/>
      <c r="X29" s="527">
        <f>V29*1.5</f>
        <v>279</v>
      </c>
      <c r="Y29" s="528"/>
    </row>
    <row r="30" spans="2:25" ht="15.75" thickBot="1"/>
    <row r="31" spans="2:25" ht="15.75" thickBot="1">
      <c r="B31" s="553" t="s">
        <v>30</v>
      </c>
      <c r="C31" s="554"/>
      <c r="D31" s="554"/>
      <c r="E31" s="554"/>
      <c r="F31" s="554"/>
      <c r="G31" s="554"/>
      <c r="H31" s="554"/>
      <c r="I31" s="554"/>
      <c r="J31" s="554"/>
      <c r="K31" s="555"/>
      <c r="P31" s="553" t="s">
        <v>30</v>
      </c>
      <c r="Q31" s="554"/>
      <c r="R31" s="554"/>
      <c r="S31" s="554"/>
      <c r="T31" s="554"/>
      <c r="U31" s="554"/>
      <c r="V31" s="554"/>
      <c r="W31" s="554"/>
      <c r="X31" s="554"/>
      <c r="Y31" s="555"/>
    </row>
    <row r="32" spans="2:25" ht="15.75" thickBot="1">
      <c r="B32" s="556" t="s">
        <v>0</v>
      </c>
      <c r="C32" s="557"/>
      <c r="D32" s="556" t="s">
        <v>1</v>
      </c>
      <c r="E32" s="558"/>
      <c r="F32" s="556" t="s">
        <v>2</v>
      </c>
      <c r="G32" s="558"/>
      <c r="H32" s="556" t="s">
        <v>3</v>
      </c>
      <c r="I32" s="558"/>
      <c r="J32" s="556" t="s">
        <v>24</v>
      </c>
      <c r="K32" s="558"/>
      <c r="P32" s="556" t="s">
        <v>0</v>
      </c>
      <c r="Q32" s="557"/>
      <c r="R32" s="556" t="s">
        <v>1</v>
      </c>
      <c r="S32" s="558"/>
      <c r="T32" s="556" t="s">
        <v>2</v>
      </c>
      <c r="U32" s="558"/>
      <c r="V32" s="556" t="s">
        <v>3</v>
      </c>
      <c r="W32" s="558"/>
      <c r="X32" s="556" t="s">
        <v>24</v>
      </c>
      <c r="Y32" s="558"/>
    </row>
    <row r="33" spans="2:25" ht="30.6" customHeight="1">
      <c r="B33" s="542" t="s">
        <v>14</v>
      </c>
      <c r="C33" s="543"/>
      <c r="D33" s="544">
        <v>1</v>
      </c>
      <c r="E33" s="545"/>
      <c r="F33" s="544">
        <v>65</v>
      </c>
      <c r="G33" s="545"/>
      <c r="H33" s="544">
        <f t="shared" ref="H33:H34" si="7">D33*F33</f>
        <v>65</v>
      </c>
      <c r="I33" s="545"/>
      <c r="J33" s="544"/>
      <c r="K33" s="545"/>
      <c r="P33" s="542" t="s">
        <v>14</v>
      </c>
      <c r="Q33" s="543"/>
      <c r="R33" s="544">
        <v>2</v>
      </c>
      <c r="S33" s="545"/>
      <c r="T33" s="544">
        <v>65</v>
      </c>
      <c r="U33" s="545"/>
      <c r="V33" s="544">
        <f t="shared" ref="V33:V39" si="8">R33*T33</f>
        <v>130</v>
      </c>
      <c r="W33" s="545"/>
      <c r="X33" s="544"/>
      <c r="Y33" s="545"/>
    </row>
    <row r="34" spans="2:25" ht="19.5" customHeight="1">
      <c r="B34" s="549" t="s">
        <v>34</v>
      </c>
      <c r="C34" s="550"/>
      <c r="D34" s="551">
        <v>1</v>
      </c>
      <c r="E34" s="552"/>
      <c r="F34" s="551">
        <v>25</v>
      </c>
      <c r="G34" s="552"/>
      <c r="H34" s="551">
        <f t="shared" si="7"/>
        <v>25</v>
      </c>
      <c r="I34" s="552"/>
      <c r="J34" s="551"/>
      <c r="K34" s="552"/>
      <c r="P34" s="549" t="s">
        <v>34</v>
      </c>
      <c r="Q34" s="550"/>
      <c r="R34" s="551">
        <v>1</v>
      </c>
      <c r="S34" s="552"/>
      <c r="T34" s="551">
        <v>25</v>
      </c>
      <c r="U34" s="552"/>
      <c r="V34" s="551">
        <f t="shared" si="8"/>
        <v>25</v>
      </c>
      <c r="W34" s="552"/>
      <c r="X34" s="551"/>
      <c r="Y34" s="552"/>
    </row>
    <row r="35" spans="2:25">
      <c r="B35" s="542" t="s">
        <v>11</v>
      </c>
      <c r="C35" s="543"/>
      <c r="D35" s="544">
        <v>1</v>
      </c>
      <c r="E35" s="545"/>
      <c r="F35" s="544">
        <v>20</v>
      </c>
      <c r="G35" s="545"/>
      <c r="H35" s="544">
        <f t="shared" ref="H35" si="9">D35*F35</f>
        <v>20</v>
      </c>
      <c r="I35" s="545"/>
      <c r="J35" s="544"/>
      <c r="K35" s="545"/>
      <c r="P35" s="542" t="s">
        <v>11</v>
      </c>
      <c r="Q35" s="543"/>
      <c r="R35" s="544">
        <v>2</v>
      </c>
      <c r="S35" s="545"/>
      <c r="T35" s="544">
        <v>20</v>
      </c>
      <c r="U35" s="545"/>
      <c r="V35" s="544">
        <f t="shared" si="8"/>
        <v>40</v>
      </c>
      <c r="W35" s="545"/>
      <c r="X35" s="544"/>
      <c r="Y35" s="545"/>
    </row>
    <row r="36" spans="2:25">
      <c r="B36" s="542" t="s">
        <v>15</v>
      </c>
      <c r="C36" s="543"/>
      <c r="D36" s="544">
        <v>1</v>
      </c>
      <c r="E36" s="545"/>
      <c r="F36" s="544">
        <v>14</v>
      </c>
      <c r="G36" s="545"/>
      <c r="H36" s="544">
        <f t="shared" ref="H36" si="10">D36*F36</f>
        <v>14</v>
      </c>
      <c r="I36" s="545"/>
      <c r="J36" s="544"/>
      <c r="K36" s="545"/>
      <c r="P36" s="542" t="s">
        <v>15</v>
      </c>
      <c r="Q36" s="543"/>
      <c r="R36" s="544">
        <v>2</v>
      </c>
      <c r="S36" s="545"/>
      <c r="T36" s="544">
        <v>14</v>
      </c>
      <c r="U36" s="545"/>
      <c r="V36" s="544">
        <f t="shared" si="8"/>
        <v>28</v>
      </c>
      <c r="W36" s="545"/>
      <c r="X36" s="544"/>
      <c r="Y36" s="545"/>
    </row>
    <row r="37" spans="2:25">
      <c r="B37" s="542" t="s">
        <v>16</v>
      </c>
      <c r="C37" s="543"/>
      <c r="D37" s="544">
        <v>2</v>
      </c>
      <c r="E37" s="545"/>
      <c r="F37" s="544">
        <v>8</v>
      </c>
      <c r="G37" s="545"/>
      <c r="H37" s="544">
        <f t="shared" ref="H37" si="11">D37*F37</f>
        <v>16</v>
      </c>
      <c r="I37" s="545"/>
      <c r="J37" s="544"/>
      <c r="K37" s="545"/>
      <c r="P37" s="542" t="s">
        <v>16</v>
      </c>
      <c r="Q37" s="543"/>
      <c r="R37" s="544">
        <v>4</v>
      </c>
      <c r="S37" s="545"/>
      <c r="T37" s="544">
        <v>8</v>
      </c>
      <c r="U37" s="545"/>
      <c r="V37" s="544">
        <f t="shared" si="8"/>
        <v>32</v>
      </c>
      <c r="W37" s="545"/>
      <c r="X37" s="544"/>
      <c r="Y37" s="545"/>
    </row>
    <row r="38" spans="2:25">
      <c r="B38" s="542" t="s">
        <v>18</v>
      </c>
      <c r="C38" s="543"/>
      <c r="D38" s="544">
        <v>1</v>
      </c>
      <c r="E38" s="545"/>
      <c r="F38" s="544">
        <v>6</v>
      </c>
      <c r="G38" s="545"/>
      <c r="H38" s="544">
        <f t="shared" ref="H38" si="12">D38*F38</f>
        <v>6</v>
      </c>
      <c r="I38" s="545"/>
      <c r="J38" s="544"/>
      <c r="K38" s="545"/>
      <c r="P38" s="542" t="s">
        <v>18</v>
      </c>
      <c r="Q38" s="543"/>
      <c r="R38" s="544">
        <v>2</v>
      </c>
      <c r="S38" s="545"/>
      <c r="T38" s="544">
        <v>6</v>
      </c>
      <c r="U38" s="545"/>
      <c r="V38" s="544">
        <f t="shared" si="8"/>
        <v>12</v>
      </c>
      <c r="W38" s="545"/>
      <c r="X38" s="544"/>
      <c r="Y38" s="545"/>
    </row>
    <row r="39" spans="2:25" ht="15.75" thickBot="1">
      <c r="B39" s="542" t="s">
        <v>17</v>
      </c>
      <c r="C39" s="543"/>
      <c r="D39" s="544">
        <v>1</v>
      </c>
      <c r="E39" s="545"/>
      <c r="F39" s="544">
        <v>20</v>
      </c>
      <c r="G39" s="545"/>
      <c r="H39" s="544">
        <f t="shared" ref="H39" si="13">D39*F39</f>
        <v>20</v>
      </c>
      <c r="I39" s="545"/>
      <c r="J39" s="544"/>
      <c r="K39" s="545"/>
      <c r="P39" s="542" t="s">
        <v>17</v>
      </c>
      <c r="Q39" s="543"/>
      <c r="R39" s="544">
        <v>2</v>
      </c>
      <c r="S39" s="545"/>
      <c r="T39" s="544">
        <v>20</v>
      </c>
      <c r="U39" s="545"/>
      <c r="V39" s="544">
        <f t="shared" si="8"/>
        <v>40</v>
      </c>
      <c r="W39" s="545"/>
      <c r="X39" s="544"/>
      <c r="Y39" s="545"/>
    </row>
    <row r="40" spans="2:25" ht="15.75" thickBot="1">
      <c r="B40" s="524" t="s">
        <v>21</v>
      </c>
      <c r="C40" s="525"/>
      <c r="D40" s="525"/>
      <c r="E40" s="525"/>
      <c r="F40" s="525"/>
      <c r="G40" s="526"/>
      <c r="H40" s="527">
        <f>SUM(H33:I39)</f>
        <v>166</v>
      </c>
      <c r="I40" s="528"/>
      <c r="J40" s="527">
        <f>H40*1.6</f>
        <v>265.60000000000002</v>
      </c>
      <c r="K40" s="528"/>
      <c r="P40" s="524" t="s">
        <v>21</v>
      </c>
      <c r="Q40" s="525"/>
      <c r="R40" s="525"/>
      <c r="S40" s="525"/>
      <c r="T40" s="525"/>
      <c r="U40" s="526"/>
      <c r="V40" s="527">
        <f>SUM(V33:W39)</f>
        <v>307</v>
      </c>
      <c r="W40" s="528"/>
      <c r="X40" s="527">
        <f>V40*1.6</f>
        <v>491.20000000000005</v>
      </c>
      <c r="Y40" s="528"/>
    </row>
    <row r="41" spans="2:25" ht="15.75" thickBot="1"/>
    <row r="42" spans="2:25" ht="15.75" thickBot="1">
      <c r="B42" s="546" t="s">
        <v>38</v>
      </c>
      <c r="C42" s="547"/>
      <c r="D42" s="547"/>
      <c r="E42" s="547"/>
      <c r="F42" s="547"/>
      <c r="G42" s="547"/>
      <c r="H42" s="547"/>
      <c r="I42" s="547"/>
      <c r="J42" s="547"/>
      <c r="K42" s="548"/>
      <c r="P42" s="546" t="s">
        <v>38</v>
      </c>
      <c r="Q42" s="547"/>
      <c r="R42" s="547"/>
      <c r="S42" s="547"/>
      <c r="T42" s="547"/>
      <c r="U42" s="547"/>
      <c r="V42" s="547"/>
      <c r="W42" s="547"/>
      <c r="X42" s="547"/>
      <c r="Y42" s="548"/>
    </row>
    <row r="43" spans="2:25" ht="18.600000000000001" customHeight="1">
      <c r="B43" s="534" t="s">
        <v>36</v>
      </c>
      <c r="C43" s="535"/>
      <c r="D43" s="536">
        <v>2</v>
      </c>
      <c r="E43" s="537"/>
      <c r="F43" s="536">
        <v>15</v>
      </c>
      <c r="G43" s="537"/>
      <c r="H43" s="536">
        <f t="shared" ref="H43:H44" si="14">D43*F43</f>
        <v>30</v>
      </c>
      <c r="I43" s="537"/>
      <c r="J43" s="536"/>
      <c r="K43" s="537"/>
      <c r="P43" s="534" t="s">
        <v>36</v>
      </c>
      <c r="Q43" s="535"/>
      <c r="R43" s="536">
        <v>2</v>
      </c>
      <c r="S43" s="537"/>
      <c r="T43" s="536">
        <v>20</v>
      </c>
      <c r="U43" s="537"/>
      <c r="V43" s="536">
        <f t="shared" ref="V43:V45" si="15">R43*T43</f>
        <v>40</v>
      </c>
      <c r="W43" s="537"/>
      <c r="X43" s="536"/>
      <c r="Y43" s="537"/>
    </row>
    <row r="44" spans="2:25" ht="24" customHeight="1">
      <c r="B44" s="538" t="s">
        <v>37</v>
      </c>
      <c r="C44" s="539"/>
      <c r="D44" s="540">
        <v>1</v>
      </c>
      <c r="E44" s="541"/>
      <c r="F44" s="540">
        <v>20</v>
      </c>
      <c r="G44" s="541"/>
      <c r="H44" s="540">
        <f t="shared" si="14"/>
        <v>20</v>
      </c>
      <c r="I44" s="541"/>
      <c r="J44" s="540"/>
      <c r="K44" s="541"/>
      <c r="P44" s="538" t="s">
        <v>37</v>
      </c>
      <c r="Q44" s="539"/>
      <c r="R44" s="540">
        <v>1</v>
      </c>
      <c r="S44" s="541"/>
      <c r="T44" s="540">
        <v>20</v>
      </c>
      <c r="U44" s="541"/>
      <c r="V44" s="540">
        <f t="shared" si="15"/>
        <v>20</v>
      </c>
      <c r="W44" s="541"/>
      <c r="X44" s="540"/>
      <c r="Y44" s="541"/>
    </row>
    <row r="45" spans="2:25" ht="33.950000000000003" customHeight="1" thickBot="1">
      <c r="B45" s="520" t="s">
        <v>35</v>
      </c>
      <c r="C45" s="521"/>
      <c r="D45" s="522">
        <v>1</v>
      </c>
      <c r="E45" s="523"/>
      <c r="F45" s="522">
        <v>20</v>
      </c>
      <c r="G45" s="523"/>
      <c r="H45" s="522">
        <f t="shared" ref="H45" si="16">D45*F45</f>
        <v>20</v>
      </c>
      <c r="I45" s="523"/>
      <c r="J45" s="522"/>
      <c r="K45" s="523"/>
      <c r="P45" s="520" t="s">
        <v>35</v>
      </c>
      <c r="Q45" s="521"/>
      <c r="R45" s="522">
        <v>1</v>
      </c>
      <c r="S45" s="523"/>
      <c r="T45" s="522">
        <v>30</v>
      </c>
      <c r="U45" s="523"/>
      <c r="V45" s="522">
        <f t="shared" si="15"/>
        <v>30</v>
      </c>
      <c r="W45" s="523"/>
      <c r="X45" s="522"/>
      <c r="Y45" s="523"/>
    </row>
    <row r="46" spans="2:25" ht="18.95" customHeight="1" thickBot="1">
      <c r="B46" s="524" t="s">
        <v>39</v>
      </c>
      <c r="C46" s="525"/>
      <c r="D46" s="525"/>
      <c r="E46" s="525"/>
      <c r="F46" s="525"/>
      <c r="G46" s="526"/>
      <c r="H46" s="527">
        <f>SUM(H43:I45)</f>
        <v>70</v>
      </c>
      <c r="I46" s="528"/>
      <c r="J46" s="527">
        <f>H46*1.2</f>
        <v>84</v>
      </c>
      <c r="K46" s="528"/>
      <c r="P46" s="524" t="s">
        <v>39</v>
      </c>
      <c r="Q46" s="525"/>
      <c r="R46" s="525"/>
      <c r="S46" s="525"/>
      <c r="T46" s="525"/>
      <c r="U46" s="526"/>
      <c r="V46" s="527">
        <f>SUM(V43:W45)</f>
        <v>90</v>
      </c>
      <c r="W46" s="528"/>
      <c r="X46" s="527">
        <f>V46*1.2</f>
        <v>108</v>
      </c>
      <c r="Y46" s="528"/>
    </row>
    <row r="47" spans="2:25" ht="15.75" thickBot="1"/>
    <row r="48" spans="2:25" ht="18.75" thickBot="1">
      <c r="B48" s="529" t="s">
        <v>26</v>
      </c>
      <c r="C48" s="530"/>
      <c r="D48" s="530"/>
      <c r="E48" s="530"/>
      <c r="F48" s="530"/>
      <c r="G48" s="531"/>
      <c r="H48" s="532">
        <f>H46+H40+H29+H14</f>
        <v>467</v>
      </c>
      <c r="I48" s="533"/>
      <c r="J48" s="527">
        <f>J46+J40+J29+J14</f>
        <v>688.7</v>
      </c>
      <c r="K48" s="528"/>
      <c r="P48" s="529" t="s">
        <v>26</v>
      </c>
      <c r="Q48" s="530"/>
      <c r="R48" s="530"/>
      <c r="S48" s="530"/>
      <c r="T48" s="530"/>
      <c r="U48" s="531"/>
      <c r="V48" s="532">
        <f>V46+V40+V29+V14</f>
        <v>662</v>
      </c>
      <c r="W48" s="533"/>
      <c r="X48" s="527">
        <f>X46+X40+X29+X14</f>
        <v>988.80000000000007</v>
      </c>
      <c r="Y48" s="528"/>
    </row>
    <row r="49" spans="2:25">
      <c r="B49" s="519"/>
      <c r="C49" s="519"/>
      <c r="D49" s="519"/>
      <c r="E49" s="519"/>
      <c r="P49" s="519"/>
      <c r="Q49" s="519"/>
      <c r="R49" s="519"/>
      <c r="S49" s="519"/>
    </row>
    <row r="50" spans="2:25">
      <c r="B50" s="519" t="s">
        <v>22</v>
      </c>
      <c r="C50" s="519"/>
      <c r="D50" s="519"/>
      <c r="E50" s="519"/>
      <c r="K50" s="66">
        <f>J48*3000</f>
        <v>2066100.0000000002</v>
      </c>
      <c r="P50" s="519" t="s">
        <v>22</v>
      </c>
      <c r="Q50" s="519"/>
      <c r="R50" s="519"/>
      <c r="S50" s="519"/>
      <c r="Y50" s="66">
        <f>X48*3000</f>
        <v>2966400</v>
      </c>
    </row>
    <row r="118" spans="1:1">
      <c r="A118" s="2"/>
    </row>
    <row r="119" spans="1:1">
      <c r="A119" s="2"/>
    </row>
    <row r="120" spans="1:1">
      <c r="A120" s="2"/>
    </row>
  </sheetData>
  <mergeCells count="364">
    <mergeCell ref="J27:K27"/>
    <mergeCell ref="J32:K32"/>
    <mergeCell ref="B34:C34"/>
    <mergeCell ref="J22:K22"/>
    <mergeCell ref="J24:K24"/>
    <mergeCell ref="J25:K25"/>
    <mergeCell ref="J26:K26"/>
    <mergeCell ref="B44:C44"/>
    <mergeCell ref="D44:E44"/>
    <mergeCell ref="F44:G44"/>
    <mergeCell ref="H44:I44"/>
    <mergeCell ref="J44:K44"/>
    <mergeCell ref="H23:I23"/>
    <mergeCell ref="J23:K23"/>
    <mergeCell ref="B28:C28"/>
    <mergeCell ref="D28:E28"/>
    <mergeCell ref="F28:G28"/>
    <mergeCell ref="H28:I28"/>
    <mergeCell ref="J28:K28"/>
    <mergeCell ref="D33:E33"/>
    <mergeCell ref="B33:C33"/>
    <mergeCell ref="J29:K29"/>
    <mergeCell ref="F26:G26"/>
    <mergeCell ref="H26:I26"/>
    <mergeCell ref="B27:C27"/>
    <mergeCell ref="D27:E27"/>
    <mergeCell ref="F27:G27"/>
    <mergeCell ref="B17:C17"/>
    <mergeCell ref="D17:E17"/>
    <mergeCell ref="F17:G17"/>
    <mergeCell ref="H17:I17"/>
    <mergeCell ref="F20:G20"/>
    <mergeCell ref="H20:I20"/>
    <mergeCell ref="B21:C21"/>
    <mergeCell ref="D21:E21"/>
    <mergeCell ref="F24:G24"/>
    <mergeCell ref="H24:I24"/>
    <mergeCell ref="B26:C26"/>
    <mergeCell ref="D26:E26"/>
    <mergeCell ref="H27:I27"/>
    <mergeCell ref="J14:K14"/>
    <mergeCell ref="B19:C19"/>
    <mergeCell ref="D18:E18"/>
    <mergeCell ref="J17:K17"/>
    <mergeCell ref="J18:K18"/>
    <mergeCell ref="J19:K19"/>
    <mergeCell ref="J20:K20"/>
    <mergeCell ref="J21:K21"/>
    <mergeCell ref="B3:C3"/>
    <mergeCell ref="D3:E3"/>
    <mergeCell ref="F3:G3"/>
    <mergeCell ref="H3:I3"/>
    <mergeCell ref="J3:K3"/>
    <mergeCell ref="B8:C8"/>
    <mergeCell ref="D8:E8"/>
    <mergeCell ref="F8:G8"/>
    <mergeCell ref="H8:I8"/>
    <mergeCell ref="D13:E13"/>
    <mergeCell ref="F13:G13"/>
    <mergeCell ref="H13:I13"/>
    <mergeCell ref="B10:C10"/>
    <mergeCell ref="D10:E10"/>
    <mergeCell ref="F10:G10"/>
    <mergeCell ref="H10:I10"/>
    <mergeCell ref="B2:K2"/>
    <mergeCell ref="B5:K5"/>
    <mergeCell ref="B16:K16"/>
    <mergeCell ref="J6:K6"/>
    <mergeCell ref="J7:K7"/>
    <mergeCell ref="J8:K8"/>
    <mergeCell ref="J9:K9"/>
    <mergeCell ref="J10:K10"/>
    <mergeCell ref="J11:K11"/>
    <mergeCell ref="J12:K12"/>
    <mergeCell ref="J13:K13"/>
    <mergeCell ref="B14:G14"/>
    <mergeCell ref="H14:I14"/>
    <mergeCell ref="B12:C12"/>
    <mergeCell ref="D12:E12"/>
    <mergeCell ref="F12:G12"/>
    <mergeCell ref="H12:I12"/>
    <mergeCell ref="B13:C13"/>
    <mergeCell ref="B9:C9"/>
    <mergeCell ref="D9:E9"/>
    <mergeCell ref="F9:G9"/>
    <mergeCell ref="H9:I9"/>
    <mergeCell ref="F7:G7"/>
    <mergeCell ref="H7:I7"/>
    <mergeCell ref="B11:C11"/>
    <mergeCell ref="D11:E11"/>
    <mergeCell ref="F11:G11"/>
    <mergeCell ref="H11:I11"/>
    <mergeCell ref="B50:E50"/>
    <mergeCell ref="B49:E49"/>
    <mergeCell ref="B48:G48"/>
    <mergeCell ref="H48:I48"/>
    <mergeCell ref="F18:G18"/>
    <mergeCell ref="H18:I18"/>
    <mergeCell ref="D19:E19"/>
    <mergeCell ref="F19:G19"/>
    <mergeCell ref="H19:I19"/>
    <mergeCell ref="B39:C39"/>
    <mergeCell ref="D39:E39"/>
    <mergeCell ref="F39:G39"/>
    <mergeCell ref="H39:I39"/>
    <mergeCell ref="B18:C18"/>
    <mergeCell ref="B22:C22"/>
    <mergeCell ref="D22:E22"/>
    <mergeCell ref="F22:G22"/>
    <mergeCell ref="H22:I22"/>
    <mergeCell ref="B24:C24"/>
    <mergeCell ref="D24:E24"/>
    <mergeCell ref="J33:K33"/>
    <mergeCell ref="J35:K35"/>
    <mergeCell ref="B40:G40"/>
    <mergeCell ref="H40:I40"/>
    <mergeCell ref="B38:C38"/>
    <mergeCell ref="D38:E38"/>
    <mergeCell ref="F38:G38"/>
    <mergeCell ref="F37:G37"/>
    <mergeCell ref="H37:I37"/>
    <mergeCell ref="F33:G33"/>
    <mergeCell ref="H33:I33"/>
    <mergeCell ref="F35:G35"/>
    <mergeCell ref="H35:I35"/>
    <mergeCell ref="F36:G36"/>
    <mergeCell ref="H36:I36"/>
    <mergeCell ref="D34:E34"/>
    <mergeCell ref="F34:G34"/>
    <mergeCell ref="H34:I34"/>
    <mergeCell ref="J34:K34"/>
    <mergeCell ref="B35:C35"/>
    <mergeCell ref="D35:E35"/>
    <mergeCell ref="B36:C36"/>
    <mergeCell ref="D36:E36"/>
    <mergeCell ref="B37:C37"/>
    <mergeCell ref="J48:K48"/>
    <mergeCell ref="J36:K36"/>
    <mergeCell ref="J37:K37"/>
    <mergeCell ref="J38:K38"/>
    <mergeCell ref="J39:K39"/>
    <mergeCell ref="H38:I38"/>
    <mergeCell ref="B46:G46"/>
    <mergeCell ref="H46:I46"/>
    <mergeCell ref="J46:K46"/>
    <mergeCell ref="H45:I45"/>
    <mergeCell ref="J45:K45"/>
    <mergeCell ref="B43:C43"/>
    <mergeCell ref="D43:E43"/>
    <mergeCell ref="F43:G43"/>
    <mergeCell ref="H43:I43"/>
    <mergeCell ref="J43:K43"/>
    <mergeCell ref="B42:K42"/>
    <mergeCell ref="B45:C45"/>
    <mergeCell ref="D45:E45"/>
    <mergeCell ref="F45:G45"/>
    <mergeCell ref="D37:E37"/>
    <mergeCell ref="J40:K40"/>
    <mergeCell ref="B6:C6"/>
    <mergeCell ref="D6:E6"/>
    <mergeCell ref="F6:G6"/>
    <mergeCell ref="H6:I6"/>
    <mergeCell ref="B7:C7"/>
    <mergeCell ref="D7:E7"/>
    <mergeCell ref="D32:E32"/>
    <mergeCell ref="B32:C32"/>
    <mergeCell ref="B20:C20"/>
    <mergeCell ref="D20:E20"/>
    <mergeCell ref="B23:C23"/>
    <mergeCell ref="D23:E23"/>
    <mergeCell ref="F23:G23"/>
    <mergeCell ref="H21:I21"/>
    <mergeCell ref="B25:C25"/>
    <mergeCell ref="D25:E25"/>
    <mergeCell ref="F25:G25"/>
    <mergeCell ref="H25:I25"/>
    <mergeCell ref="F32:G32"/>
    <mergeCell ref="H32:I32"/>
    <mergeCell ref="F21:G21"/>
    <mergeCell ref="B29:G29"/>
    <mergeCell ref="H29:I29"/>
    <mergeCell ref="B31:K31"/>
    <mergeCell ref="P2:Y2"/>
    <mergeCell ref="P3:Q3"/>
    <mergeCell ref="R3:S3"/>
    <mergeCell ref="T3:U3"/>
    <mergeCell ref="V3:W3"/>
    <mergeCell ref="X3:Y3"/>
    <mergeCell ref="P5:Y5"/>
    <mergeCell ref="P6:Q6"/>
    <mergeCell ref="R6:S6"/>
    <mergeCell ref="T6:U6"/>
    <mergeCell ref="V6:W6"/>
    <mergeCell ref="X6:Y6"/>
    <mergeCell ref="P7:Q7"/>
    <mergeCell ref="R7:S7"/>
    <mergeCell ref="T7:U7"/>
    <mergeCell ref="V7:W7"/>
    <mergeCell ref="X7:Y7"/>
    <mergeCell ref="P8:Q8"/>
    <mergeCell ref="R8:S8"/>
    <mergeCell ref="T8:U8"/>
    <mergeCell ref="V8:W8"/>
    <mergeCell ref="X8:Y8"/>
    <mergeCell ref="P9:Q9"/>
    <mergeCell ref="R9:S9"/>
    <mergeCell ref="T9:U9"/>
    <mergeCell ref="V9:W9"/>
    <mergeCell ref="X9:Y9"/>
    <mergeCell ref="P10:Q10"/>
    <mergeCell ref="R10:S10"/>
    <mergeCell ref="T10:U10"/>
    <mergeCell ref="V10:W10"/>
    <mergeCell ref="X10:Y10"/>
    <mergeCell ref="P11:Q11"/>
    <mergeCell ref="R11:S11"/>
    <mergeCell ref="T11:U11"/>
    <mergeCell ref="V11:W11"/>
    <mergeCell ref="X11:Y11"/>
    <mergeCell ref="P12:Q12"/>
    <mergeCell ref="R12:S12"/>
    <mergeCell ref="T12:U12"/>
    <mergeCell ref="V12:W12"/>
    <mergeCell ref="X12:Y12"/>
    <mergeCell ref="P13:Q13"/>
    <mergeCell ref="R13:S13"/>
    <mergeCell ref="T13:U13"/>
    <mergeCell ref="V13:W13"/>
    <mergeCell ref="X13:Y13"/>
    <mergeCell ref="P14:U14"/>
    <mergeCell ref="V14:W14"/>
    <mergeCell ref="X14:Y14"/>
    <mergeCell ref="P16:Y16"/>
    <mergeCell ref="P17:Q17"/>
    <mergeCell ref="R17:S17"/>
    <mergeCell ref="T17:U17"/>
    <mergeCell ref="V17:W17"/>
    <mergeCell ref="X17:Y17"/>
    <mergeCell ref="P18:Q18"/>
    <mergeCell ref="R18:S18"/>
    <mergeCell ref="T18:U18"/>
    <mergeCell ref="V18:W18"/>
    <mergeCell ref="X18:Y18"/>
    <mergeCell ref="P19:Q19"/>
    <mergeCell ref="R19:S19"/>
    <mergeCell ref="T19:U19"/>
    <mergeCell ref="V19:W19"/>
    <mergeCell ref="X19:Y19"/>
    <mergeCell ref="P20:Q20"/>
    <mergeCell ref="R20:S20"/>
    <mergeCell ref="T20:U20"/>
    <mergeCell ref="V20:W20"/>
    <mergeCell ref="X20:Y20"/>
    <mergeCell ref="P21:Q21"/>
    <mergeCell ref="R21:S21"/>
    <mergeCell ref="T21:U21"/>
    <mergeCell ref="V21:W21"/>
    <mergeCell ref="X21:Y21"/>
    <mergeCell ref="P22:Q22"/>
    <mergeCell ref="R22:S22"/>
    <mergeCell ref="T22:U22"/>
    <mergeCell ref="V22:W22"/>
    <mergeCell ref="X22:Y22"/>
    <mergeCell ref="P23:Q23"/>
    <mergeCell ref="R23:S23"/>
    <mergeCell ref="T23:U23"/>
    <mergeCell ref="V23:W23"/>
    <mergeCell ref="X23:Y23"/>
    <mergeCell ref="P24:Q24"/>
    <mergeCell ref="R24:S24"/>
    <mergeCell ref="T24:U24"/>
    <mergeCell ref="V24:W24"/>
    <mergeCell ref="X24:Y24"/>
    <mergeCell ref="P25:Q25"/>
    <mergeCell ref="R25:S25"/>
    <mergeCell ref="T25:U25"/>
    <mergeCell ref="V25:W25"/>
    <mergeCell ref="X25:Y25"/>
    <mergeCell ref="P26:Q26"/>
    <mergeCell ref="R26:S26"/>
    <mergeCell ref="T26:U26"/>
    <mergeCell ref="V26:W26"/>
    <mergeCell ref="X26:Y26"/>
    <mergeCell ref="P27:Q27"/>
    <mergeCell ref="R27:S27"/>
    <mergeCell ref="T27:U27"/>
    <mergeCell ref="V27:W27"/>
    <mergeCell ref="X27:Y27"/>
    <mergeCell ref="P28:Q28"/>
    <mergeCell ref="R28:S28"/>
    <mergeCell ref="T28:U28"/>
    <mergeCell ref="V28:W28"/>
    <mergeCell ref="X28:Y28"/>
    <mergeCell ref="P29:U29"/>
    <mergeCell ref="V29:W29"/>
    <mergeCell ref="X29:Y29"/>
    <mergeCell ref="P31:Y31"/>
    <mergeCell ref="P32:Q32"/>
    <mergeCell ref="R32:S32"/>
    <mergeCell ref="T32:U32"/>
    <mergeCell ref="V32:W32"/>
    <mergeCell ref="X32:Y32"/>
    <mergeCell ref="P33:Q33"/>
    <mergeCell ref="R33:S33"/>
    <mergeCell ref="T33:U33"/>
    <mergeCell ref="V33:W33"/>
    <mergeCell ref="X33:Y33"/>
    <mergeCell ref="P34:Q34"/>
    <mergeCell ref="R34:S34"/>
    <mergeCell ref="T34:U34"/>
    <mergeCell ref="V34:W34"/>
    <mergeCell ref="X34:Y34"/>
    <mergeCell ref="P35:Q35"/>
    <mergeCell ref="R35:S35"/>
    <mergeCell ref="T35:U35"/>
    <mergeCell ref="V35:W35"/>
    <mergeCell ref="X35:Y35"/>
    <mergeCell ref="P36:Q36"/>
    <mergeCell ref="R36:S36"/>
    <mergeCell ref="T36:U36"/>
    <mergeCell ref="V36:W36"/>
    <mergeCell ref="X36:Y36"/>
    <mergeCell ref="P37:Q37"/>
    <mergeCell ref="R37:S37"/>
    <mergeCell ref="T37:U37"/>
    <mergeCell ref="V37:W37"/>
    <mergeCell ref="X37:Y37"/>
    <mergeCell ref="P38:Q38"/>
    <mergeCell ref="R38:S38"/>
    <mergeCell ref="T38:U38"/>
    <mergeCell ref="V38:W38"/>
    <mergeCell ref="X38:Y38"/>
    <mergeCell ref="P39:Q39"/>
    <mergeCell ref="R39:S39"/>
    <mergeCell ref="T39:U39"/>
    <mergeCell ref="V39:W39"/>
    <mergeCell ref="X39:Y39"/>
    <mergeCell ref="P40:U40"/>
    <mergeCell ref="V40:W40"/>
    <mergeCell ref="X40:Y40"/>
    <mergeCell ref="P42:Y42"/>
    <mergeCell ref="P43:Q43"/>
    <mergeCell ref="R43:S43"/>
    <mergeCell ref="T43:U43"/>
    <mergeCell ref="V43:W43"/>
    <mergeCell ref="X43:Y43"/>
    <mergeCell ref="P44:Q44"/>
    <mergeCell ref="R44:S44"/>
    <mergeCell ref="T44:U44"/>
    <mergeCell ref="V44:W44"/>
    <mergeCell ref="X44:Y44"/>
    <mergeCell ref="P49:S49"/>
    <mergeCell ref="P50:S50"/>
    <mergeCell ref="P45:Q45"/>
    <mergeCell ref="R45:S45"/>
    <mergeCell ref="T45:U45"/>
    <mergeCell ref="V45:W45"/>
    <mergeCell ref="X45:Y45"/>
    <mergeCell ref="P46:U46"/>
    <mergeCell ref="V46:W46"/>
    <mergeCell ref="X46:Y46"/>
    <mergeCell ref="P48:U48"/>
    <mergeCell ref="V48:W48"/>
    <mergeCell ref="X48:Y4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S69"/>
  <sheetViews>
    <sheetView showGridLines="0" view="pageBreakPreview" topLeftCell="A14" zoomScale="139" zoomScaleNormal="100" zoomScaleSheetLayoutView="112" workbookViewId="0">
      <selection activeCell="R50" sqref="R50"/>
    </sheetView>
  </sheetViews>
  <sheetFormatPr baseColWidth="10" defaultRowHeight="15"/>
  <cols>
    <col min="2" max="2" width="2.42578125" customWidth="1"/>
    <col min="3" max="3" width="6.7109375" customWidth="1"/>
    <col min="4" max="4" width="64.7109375" customWidth="1"/>
    <col min="5" max="5" width="23.7109375" customWidth="1"/>
    <col min="6" max="6" width="13.7109375" customWidth="1"/>
    <col min="7" max="7" width="22.85546875" customWidth="1"/>
    <col min="8" max="8" width="21.42578125" customWidth="1"/>
    <col min="9" max="9" width="2.42578125" customWidth="1"/>
    <col min="11" max="11" width="14.42578125" hidden="1" customWidth="1"/>
    <col min="12" max="13" width="0" hidden="1" customWidth="1"/>
    <col min="14" max="14" width="69.7109375" hidden="1" customWidth="1"/>
    <col min="15" max="15" width="17.28515625" hidden="1" customWidth="1"/>
    <col min="16" max="17" width="0" hidden="1" customWidth="1"/>
  </cols>
  <sheetData>
    <row r="2" spans="3:15">
      <c r="C2" s="221"/>
      <c r="D2" s="221"/>
    </row>
    <row r="3" spans="3:15" ht="45" customHeight="1">
      <c r="C3" s="580" t="s">
        <v>96</v>
      </c>
      <c r="D3" s="580"/>
      <c r="E3" s="580"/>
      <c r="F3" s="580"/>
      <c r="G3" s="580"/>
    </row>
    <row r="4" spans="3:15" ht="9" customHeight="1">
      <c r="C4" s="220"/>
      <c r="D4" s="220"/>
      <c r="E4" s="220"/>
      <c r="F4" s="220"/>
      <c r="G4" s="220"/>
    </row>
    <row r="5" spans="3:15" ht="20.100000000000001" customHeight="1">
      <c r="C5" s="577" t="s">
        <v>94</v>
      </c>
      <c r="D5" s="578"/>
      <c r="E5" s="578"/>
      <c r="F5" s="578"/>
      <c r="G5" s="578"/>
      <c r="H5" s="579"/>
    </row>
    <row r="6" spans="3:15" ht="92.1" customHeight="1">
      <c r="C6" s="574" t="s">
        <v>100</v>
      </c>
      <c r="D6" s="575"/>
      <c r="E6" s="575"/>
      <c r="F6" s="575"/>
      <c r="G6" s="575"/>
      <c r="H6" s="576"/>
    </row>
    <row r="7" spans="3:15" ht="18.95" customHeight="1"/>
    <row r="8" spans="3:15" ht="20.100000000000001" customHeight="1">
      <c r="C8" s="577" t="s">
        <v>99</v>
      </c>
      <c r="D8" s="578"/>
      <c r="E8" s="578"/>
      <c r="F8" s="578"/>
      <c r="G8" s="578"/>
      <c r="H8" s="579"/>
    </row>
    <row r="9" spans="3:15" ht="222.95" customHeight="1">
      <c r="C9" s="586" t="s">
        <v>98</v>
      </c>
      <c r="D9" s="587"/>
      <c r="E9" s="587"/>
      <c r="F9" s="587"/>
      <c r="G9" s="587"/>
      <c r="H9" s="588"/>
    </row>
    <row r="10" spans="3:15">
      <c r="C10" s="594"/>
      <c r="D10" s="594"/>
      <c r="E10" s="594"/>
      <c r="F10" s="594"/>
      <c r="G10" s="594"/>
      <c r="H10" s="594"/>
    </row>
    <row r="11" spans="3:15">
      <c r="C11" s="595" t="s">
        <v>97</v>
      </c>
      <c r="D11" s="596"/>
      <c r="E11" s="596"/>
      <c r="F11" s="596"/>
      <c r="G11" s="596"/>
      <c r="H11" s="597"/>
    </row>
    <row r="12" spans="3:15" ht="140.1" customHeight="1">
      <c r="C12" s="586" t="s">
        <v>177</v>
      </c>
      <c r="D12" s="587"/>
      <c r="E12" s="587"/>
      <c r="F12" s="587"/>
      <c r="G12" s="587"/>
      <c r="H12" s="588"/>
    </row>
    <row r="13" spans="3:15">
      <c r="C13" s="598"/>
      <c r="D13" s="598"/>
      <c r="E13" s="598"/>
      <c r="F13" s="598"/>
      <c r="G13" s="598"/>
      <c r="H13" s="598"/>
    </row>
    <row r="14" spans="3:15" s="4" customFormat="1" ht="20.100000000000001" customHeight="1">
      <c r="C14" s="14" t="s">
        <v>166</v>
      </c>
      <c r="D14" s="14"/>
      <c r="E14" s="15"/>
      <c r="F14" s="16"/>
      <c r="G14" s="16"/>
      <c r="H14" s="17"/>
      <c r="K14"/>
      <c r="L14"/>
    </row>
    <row r="15" spans="3:15" ht="24" customHeight="1">
      <c r="C15" s="590" t="s">
        <v>40</v>
      </c>
      <c r="D15" s="590"/>
      <c r="E15" s="20" t="s">
        <v>41</v>
      </c>
      <c r="F15" s="112" t="s">
        <v>42</v>
      </c>
      <c r="G15" s="222" t="s">
        <v>124</v>
      </c>
      <c r="H15" s="222" t="s">
        <v>125</v>
      </c>
      <c r="N15" s="139" t="s">
        <v>93</v>
      </c>
      <c r="O15" s="20" t="s">
        <v>41</v>
      </c>
    </row>
    <row r="16" spans="3:15" ht="6" customHeight="1" thickBot="1">
      <c r="C16" s="39"/>
      <c r="D16" s="39"/>
      <c r="E16" s="39"/>
      <c r="F16" s="223"/>
      <c r="G16" s="24"/>
      <c r="H16" s="44"/>
      <c r="N16" s="146"/>
      <c r="O16" s="147"/>
    </row>
    <row r="17" spans="3:19" ht="17.25" thickBot="1">
      <c r="C17" s="176" t="s">
        <v>126</v>
      </c>
      <c r="D17" s="159" t="s">
        <v>127</v>
      </c>
      <c r="E17" s="206">
        <f>E18+E25+E27</f>
        <v>4100</v>
      </c>
      <c r="F17" s="161"/>
      <c r="G17" s="207">
        <f>G18+G25+G27</f>
        <v>11488000</v>
      </c>
      <c r="H17" s="208">
        <f>H18+H25+H27</f>
        <v>13619700</v>
      </c>
      <c r="N17" s="148" t="s">
        <v>45</v>
      </c>
      <c r="O17" s="149"/>
    </row>
    <row r="18" spans="3:19" ht="16.5">
      <c r="C18" s="182" t="s">
        <v>130</v>
      </c>
      <c r="D18" s="224" t="s">
        <v>128</v>
      </c>
      <c r="E18" s="225">
        <f>SUM(E19:E24)</f>
        <v>2810</v>
      </c>
      <c r="F18" s="226"/>
      <c r="G18" s="227">
        <f>SUM(G19:G24)</f>
        <v>7479000</v>
      </c>
      <c r="H18" s="183">
        <f>G18*1.2</f>
        <v>8974800</v>
      </c>
      <c r="N18" s="102" t="s">
        <v>75</v>
      </c>
      <c r="O18" s="140">
        <f>SUM(O19:O28)</f>
        <v>41714688.75</v>
      </c>
    </row>
    <row r="19" spans="3:19" ht="16.5">
      <c r="C19" s="196" t="s">
        <v>132</v>
      </c>
      <c r="D19" s="228" t="s">
        <v>101</v>
      </c>
      <c r="E19" s="157">
        <v>1050</v>
      </c>
      <c r="F19" s="229">
        <v>2800</v>
      </c>
      <c r="G19" s="230">
        <f t="shared" ref="G19:G23" si="0">E19*F19</f>
        <v>2940000</v>
      </c>
      <c r="H19" s="162">
        <f>G19*1.2</f>
        <v>3528000</v>
      </c>
      <c r="N19" s="26" t="s">
        <v>86</v>
      </c>
      <c r="O19" s="141">
        <v>1150</v>
      </c>
    </row>
    <row r="20" spans="3:19" s="193" customFormat="1" ht="15.95" customHeight="1">
      <c r="C20" s="196"/>
      <c r="D20" s="231" t="s">
        <v>142</v>
      </c>
      <c r="E20" s="190">
        <v>100</v>
      </c>
      <c r="F20" s="232">
        <v>2100</v>
      </c>
      <c r="G20" s="233">
        <f t="shared" si="0"/>
        <v>210000</v>
      </c>
      <c r="H20" s="191">
        <f>G20*1.2</f>
        <v>252000</v>
      </c>
      <c r="J20" s="192"/>
      <c r="N20" s="194"/>
      <c r="O20" s="195"/>
    </row>
    <row r="21" spans="3:19" ht="16.5">
      <c r="C21" s="196" t="s">
        <v>133</v>
      </c>
      <c r="D21" s="228" t="s">
        <v>102</v>
      </c>
      <c r="E21" s="157">
        <v>850</v>
      </c>
      <c r="F21" s="229">
        <v>2800</v>
      </c>
      <c r="G21" s="230">
        <f t="shared" si="0"/>
        <v>2380000</v>
      </c>
      <c r="H21" s="162">
        <f t="shared" ref="H21:H23" si="1">G21*1.2</f>
        <v>2856000</v>
      </c>
      <c r="N21" s="26" t="s">
        <v>84</v>
      </c>
      <c r="O21" s="141">
        <v>1050</v>
      </c>
    </row>
    <row r="22" spans="3:19" s="193" customFormat="1" ht="12.75">
      <c r="C22" s="196"/>
      <c r="D22" s="231" t="s">
        <v>95</v>
      </c>
      <c r="E22" s="190">
        <v>200</v>
      </c>
      <c r="F22" s="232">
        <v>2100</v>
      </c>
      <c r="G22" s="233">
        <f t="shared" si="0"/>
        <v>420000</v>
      </c>
      <c r="H22" s="191">
        <f t="shared" si="1"/>
        <v>504000</v>
      </c>
      <c r="N22" s="194"/>
      <c r="O22" s="195"/>
    </row>
    <row r="23" spans="3:19" ht="16.5">
      <c r="C23" s="196" t="s">
        <v>134</v>
      </c>
      <c r="D23" s="228" t="s">
        <v>103</v>
      </c>
      <c r="E23" s="157">
        <v>360</v>
      </c>
      <c r="F23" s="229">
        <v>2650</v>
      </c>
      <c r="G23" s="230">
        <f t="shared" si="0"/>
        <v>954000</v>
      </c>
      <c r="H23" s="162">
        <f t="shared" si="1"/>
        <v>1144800</v>
      </c>
      <c r="N23" s="26" t="s">
        <v>79</v>
      </c>
      <c r="O23" s="141">
        <v>500</v>
      </c>
    </row>
    <row r="24" spans="3:19" ht="17.25" thickBot="1">
      <c r="C24" s="196" t="s">
        <v>135</v>
      </c>
      <c r="D24" s="228" t="s">
        <v>104</v>
      </c>
      <c r="E24" s="157">
        <v>250</v>
      </c>
      <c r="F24" s="229">
        <v>2300</v>
      </c>
      <c r="G24" s="230">
        <f t="shared" ref="G24" si="2">E24*F24</f>
        <v>575000</v>
      </c>
      <c r="H24" s="162">
        <f t="shared" ref="H24:H25" si="3">G24*1.2</f>
        <v>690000</v>
      </c>
      <c r="N24" s="84" t="s">
        <v>87</v>
      </c>
      <c r="O24" s="142">
        <v>250</v>
      </c>
    </row>
    <row r="25" spans="3:19" ht="16.5">
      <c r="C25" s="182" t="s">
        <v>131</v>
      </c>
      <c r="D25" s="224" t="s">
        <v>129</v>
      </c>
      <c r="E25" s="225">
        <f>E26</f>
        <v>500</v>
      </c>
      <c r="F25" s="226"/>
      <c r="G25" s="227">
        <f>G26</f>
        <v>2350000</v>
      </c>
      <c r="H25" s="183">
        <f t="shared" si="3"/>
        <v>2820000</v>
      </c>
      <c r="N25" s="102"/>
      <c r="O25" s="140"/>
    </row>
    <row r="26" spans="3:19" ht="16.5">
      <c r="C26" s="196" t="s">
        <v>136</v>
      </c>
      <c r="D26" s="228" t="s">
        <v>105</v>
      </c>
      <c r="E26" s="157">
        <v>500</v>
      </c>
      <c r="F26" s="229">
        <v>4700</v>
      </c>
      <c r="G26" s="230">
        <f>F26*E26</f>
        <v>2350000</v>
      </c>
      <c r="H26" s="162">
        <f>G26*1.2</f>
        <v>2820000</v>
      </c>
      <c r="N26" s="26" t="s">
        <v>85</v>
      </c>
      <c r="O26" s="141">
        <v>750</v>
      </c>
    </row>
    <row r="27" spans="3:19" ht="16.5">
      <c r="C27" s="182" t="s">
        <v>137</v>
      </c>
      <c r="D27" s="224" t="s">
        <v>106</v>
      </c>
      <c r="E27" s="225">
        <f>SUM(E28:E34)</f>
        <v>790</v>
      </c>
      <c r="F27" s="226"/>
      <c r="G27" s="227">
        <f>G28</f>
        <v>1659000</v>
      </c>
      <c r="H27" s="183">
        <f>G27*1.1</f>
        <v>1824900.0000000002</v>
      </c>
      <c r="N27" s="102" t="s">
        <v>75</v>
      </c>
      <c r="O27" s="140">
        <f>SUM(O28:O34)</f>
        <v>41709888.75</v>
      </c>
    </row>
    <row r="28" spans="3:19" ht="17.25" thickBot="1">
      <c r="C28" s="196" t="s">
        <v>138</v>
      </c>
      <c r="D28" s="228" t="s">
        <v>107</v>
      </c>
      <c r="E28" s="157">
        <v>790</v>
      </c>
      <c r="F28" s="229">
        <v>2100</v>
      </c>
      <c r="G28" s="230">
        <f>F28*E28</f>
        <v>1659000</v>
      </c>
      <c r="H28" s="162">
        <f>G28*1.1</f>
        <v>1824900.0000000002</v>
      </c>
      <c r="N28" s="84" t="s">
        <v>88</v>
      </c>
      <c r="O28" s="142">
        <v>1100</v>
      </c>
      <c r="S28" s="61"/>
    </row>
    <row r="29" spans="3:19" ht="5.0999999999999996" customHeight="1" thickBot="1">
      <c r="C29" s="35"/>
      <c r="D29" s="42"/>
      <c r="E29" s="31"/>
      <c r="F29" s="234"/>
      <c r="G29" s="235"/>
      <c r="H29" s="169"/>
      <c r="N29" s="1"/>
      <c r="O29" s="1"/>
    </row>
    <row r="30" spans="3:19" ht="16.5" thickBot="1">
      <c r="C30" s="170" t="s">
        <v>139</v>
      </c>
      <c r="D30" s="236" t="s">
        <v>140</v>
      </c>
      <c r="E30" s="237"/>
      <c r="F30" s="238"/>
      <c r="G30" s="239">
        <f>G31</f>
        <v>2000000</v>
      </c>
      <c r="H30" s="209">
        <f>H31</f>
        <v>2400000</v>
      </c>
      <c r="N30" s="145" t="s">
        <v>90</v>
      </c>
      <c r="O30" s="154">
        <v>15895000</v>
      </c>
    </row>
    <row r="31" spans="3:19" ht="17.25" thickBot="1">
      <c r="C31" s="184" t="s">
        <v>141</v>
      </c>
      <c r="D31" s="185" t="s">
        <v>108</v>
      </c>
      <c r="E31" s="186"/>
      <c r="F31" s="187"/>
      <c r="G31" s="188">
        <v>2000000</v>
      </c>
      <c r="H31" s="189">
        <f>G31*1.2</f>
        <v>2400000</v>
      </c>
      <c r="N31" s="145" t="s">
        <v>91</v>
      </c>
      <c r="O31" s="154">
        <v>25813788.75</v>
      </c>
    </row>
    <row r="32" spans="3:19" ht="6.95" customHeight="1" thickBot="1">
      <c r="C32" s="42"/>
      <c r="D32" s="42"/>
      <c r="E32" s="31"/>
      <c r="F32" s="234"/>
      <c r="G32" s="235"/>
      <c r="H32" s="235"/>
    </row>
    <row r="33" spans="3:8" ht="18.75" thickBot="1">
      <c r="C33" s="581" t="s">
        <v>143</v>
      </c>
      <c r="D33" s="582"/>
      <c r="E33" s="582"/>
      <c r="F33" s="582"/>
      <c r="G33" s="163">
        <f>G31+G25+G27+G18</f>
        <v>13488000</v>
      </c>
      <c r="H33" s="164">
        <f>H31+H25+H27+H18</f>
        <v>16019700</v>
      </c>
    </row>
    <row r="34" spans="3:8" ht="6.95" customHeight="1" thickBot="1">
      <c r="E34" s="31"/>
      <c r="F34" s="234"/>
      <c r="G34" s="235"/>
      <c r="H34" s="235"/>
    </row>
    <row r="35" spans="3:8" ht="16.5">
      <c r="C35" s="176" t="s">
        <v>144</v>
      </c>
      <c r="D35" s="159" t="s">
        <v>109</v>
      </c>
      <c r="E35" s="160"/>
      <c r="F35" s="161"/>
      <c r="G35" s="207">
        <f>G36</f>
        <v>256000</v>
      </c>
      <c r="H35" s="208">
        <f>G35*1.2</f>
        <v>307200</v>
      </c>
    </row>
    <row r="36" spans="3:8" ht="17.25" thickBot="1">
      <c r="C36" s="165"/>
      <c r="D36" s="158" t="s">
        <v>110</v>
      </c>
      <c r="E36" s="166">
        <f>SUM(E19:E23)</f>
        <v>2560</v>
      </c>
      <c r="F36" s="210">
        <v>100</v>
      </c>
      <c r="G36" s="167">
        <f>+E36*F36</f>
        <v>256000</v>
      </c>
      <c r="H36" s="168">
        <f>G36*1.2</f>
        <v>307200</v>
      </c>
    </row>
    <row r="37" spans="3:8" ht="17.25" thickBot="1">
      <c r="C37" s="42"/>
      <c r="D37" s="42"/>
      <c r="E37" s="31"/>
      <c r="F37" s="234"/>
      <c r="G37" s="235"/>
      <c r="H37" s="42"/>
    </row>
    <row r="38" spans="3:8" ht="15.75">
      <c r="C38" s="171" t="s">
        <v>145</v>
      </c>
      <c r="D38" s="172" t="s">
        <v>111</v>
      </c>
      <c r="E38" s="172"/>
      <c r="F38" s="173">
        <f>SUM(F39:F45)</f>
        <v>0.13500000000000001</v>
      </c>
      <c r="G38" s="174">
        <f>+SUM(G39:G45)</f>
        <v>1855440</v>
      </c>
      <c r="H38" s="175">
        <f>SUM(H39:H45)</f>
        <v>2226528</v>
      </c>
    </row>
    <row r="39" spans="3:8" ht="16.5">
      <c r="C39" s="197" t="s">
        <v>146</v>
      </c>
      <c r="D39" s="240" t="s">
        <v>112</v>
      </c>
      <c r="E39" s="39"/>
      <c r="F39" s="43">
        <v>0.1</v>
      </c>
      <c r="G39" s="24">
        <f>($G$33+$G$35)*F39</f>
        <v>1374400</v>
      </c>
      <c r="H39" s="177">
        <f>G39*1.2</f>
        <v>1649280</v>
      </c>
    </row>
    <row r="40" spans="3:8" ht="15.6" customHeight="1">
      <c r="C40" s="197" t="s">
        <v>147</v>
      </c>
      <c r="D40" s="240" t="s">
        <v>113</v>
      </c>
      <c r="E40" s="39"/>
      <c r="F40" s="43">
        <v>5.0000000000000001E-3</v>
      </c>
      <c r="G40" s="24">
        <f t="shared" ref="G40:G45" si="4">($G$33+$G$35)*F40</f>
        <v>68720</v>
      </c>
      <c r="H40" s="177">
        <f t="shared" ref="H40:H45" si="5">G40*1.2</f>
        <v>82464</v>
      </c>
    </row>
    <row r="41" spans="3:8" ht="15.6" customHeight="1">
      <c r="C41" s="197" t="s">
        <v>148</v>
      </c>
      <c r="D41" s="240" t="s">
        <v>114</v>
      </c>
      <c r="E41" s="39"/>
      <c r="F41" s="43">
        <v>1.2999999999999999E-2</v>
      </c>
      <c r="G41" s="24">
        <f t="shared" si="4"/>
        <v>178672</v>
      </c>
      <c r="H41" s="177">
        <f t="shared" si="5"/>
        <v>214406.39999999999</v>
      </c>
    </row>
    <row r="42" spans="3:8" ht="15.6" customHeight="1">
      <c r="C42" s="197" t="s">
        <v>149</v>
      </c>
      <c r="D42" s="240" t="s">
        <v>53</v>
      </c>
      <c r="E42" s="39"/>
      <c r="F42" s="43">
        <v>5.0000000000000001E-3</v>
      </c>
      <c r="G42" s="24">
        <f t="shared" si="4"/>
        <v>68720</v>
      </c>
      <c r="H42" s="177">
        <f t="shared" si="5"/>
        <v>82464</v>
      </c>
    </row>
    <row r="43" spans="3:8" ht="15.6" customHeight="1">
      <c r="C43" s="197" t="s">
        <v>150</v>
      </c>
      <c r="D43" s="240" t="s">
        <v>115</v>
      </c>
      <c r="E43" s="39"/>
      <c r="F43" s="43">
        <v>5.0000000000000001E-3</v>
      </c>
      <c r="G43" s="24">
        <f t="shared" si="4"/>
        <v>68720</v>
      </c>
      <c r="H43" s="177">
        <f t="shared" si="5"/>
        <v>82464</v>
      </c>
    </row>
    <row r="44" spans="3:8" ht="15.6" customHeight="1">
      <c r="C44" s="197" t="s">
        <v>151</v>
      </c>
      <c r="D44" s="240" t="s">
        <v>116</v>
      </c>
      <c r="E44" s="39"/>
      <c r="F44" s="43">
        <f>0.003</f>
        <v>3.0000000000000001E-3</v>
      </c>
      <c r="G44" s="24">
        <f t="shared" si="4"/>
        <v>41232</v>
      </c>
      <c r="H44" s="177">
        <f t="shared" si="5"/>
        <v>49478.400000000001</v>
      </c>
    </row>
    <row r="45" spans="3:8" ht="15.6" customHeight="1" thickBot="1">
      <c r="C45" s="198" t="s">
        <v>152</v>
      </c>
      <c r="D45" s="199" t="s">
        <v>117</v>
      </c>
      <c r="E45" s="54"/>
      <c r="F45" s="178">
        <v>4.0000000000000001E-3</v>
      </c>
      <c r="G45" s="59">
        <f t="shared" si="4"/>
        <v>54976</v>
      </c>
      <c r="H45" s="179">
        <f t="shared" si="5"/>
        <v>65971.199999999997</v>
      </c>
    </row>
    <row r="46" spans="3:8" ht="9.9499999999999993" customHeight="1" thickBot="1">
      <c r="C46" s="39"/>
      <c r="D46" s="39"/>
      <c r="E46" s="39"/>
      <c r="F46" s="43"/>
      <c r="G46" s="24"/>
      <c r="H46" s="44"/>
    </row>
    <row r="47" spans="3:8" ht="16.5">
      <c r="C47" s="180" t="s">
        <v>153</v>
      </c>
      <c r="D47" s="181" t="s">
        <v>118</v>
      </c>
      <c r="E47" s="172"/>
      <c r="F47" s="173">
        <f>SUM(F48:F52)</f>
        <v>3.4500000000000003E-2</v>
      </c>
      <c r="G47" s="174">
        <f>SUM(G48:G52)</f>
        <v>474168</v>
      </c>
      <c r="H47" s="175">
        <f>G47*1.2</f>
        <v>569001.6</v>
      </c>
    </row>
    <row r="48" spans="3:8" ht="16.5">
      <c r="C48" s="197" t="s">
        <v>154</v>
      </c>
      <c r="D48" s="240" t="s">
        <v>119</v>
      </c>
      <c r="E48" s="39"/>
      <c r="F48" s="43">
        <v>1E-3</v>
      </c>
      <c r="G48" s="24">
        <f>F48*($G$33+$G$35)</f>
        <v>13744</v>
      </c>
      <c r="H48" s="177">
        <f t="shared" ref="H48:H52" si="6">G48*1.2</f>
        <v>16492.8</v>
      </c>
    </row>
    <row r="49" spans="3:15" ht="15.6" customHeight="1">
      <c r="C49" s="197" t="s">
        <v>155</v>
      </c>
      <c r="D49" s="240" t="s">
        <v>120</v>
      </c>
      <c r="E49" s="39"/>
      <c r="F49" s="43">
        <v>1E-3</v>
      </c>
      <c r="G49" s="24">
        <f t="shared" ref="G49:G52" si="7">F49*($G$33+$G$35)</f>
        <v>13744</v>
      </c>
      <c r="H49" s="177">
        <f t="shared" si="6"/>
        <v>16492.8</v>
      </c>
    </row>
    <row r="50" spans="3:15" ht="15.6" customHeight="1">
      <c r="C50" s="197" t="s">
        <v>156</v>
      </c>
      <c r="D50" s="240" t="s">
        <v>121</v>
      </c>
      <c r="E50" s="39"/>
      <c r="F50" s="43">
        <v>0.02</v>
      </c>
      <c r="G50" s="24">
        <f t="shared" si="7"/>
        <v>274880</v>
      </c>
      <c r="H50" s="177">
        <f t="shared" si="6"/>
        <v>329856</v>
      </c>
    </row>
    <row r="51" spans="3:15" ht="15.6" customHeight="1">
      <c r="C51" s="197" t="s">
        <v>157</v>
      </c>
      <c r="D51" s="240" t="s">
        <v>122</v>
      </c>
      <c r="E51" s="39"/>
      <c r="F51" s="43">
        <v>0.01</v>
      </c>
      <c r="G51" s="24">
        <f t="shared" si="7"/>
        <v>137440</v>
      </c>
      <c r="H51" s="177">
        <f>G51</f>
        <v>137440</v>
      </c>
    </row>
    <row r="52" spans="3:15" ht="15.6" customHeight="1" thickBot="1">
      <c r="C52" s="198" t="s">
        <v>158</v>
      </c>
      <c r="D52" s="199" t="s">
        <v>123</v>
      </c>
      <c r="E52" s="54"/>
      <c r="F52" s="178">
        <v>2.5000000000000001E-3</v>
      </c>
      <c r="G52" s="59">
        <f t="shared" si="7"/>
        <v>34360</v>
      </c>
      <c r="H52" s="179">
        <f t="shared" si="6"/>
        <v>41232</v>
      </c>
    </row>
    <row r="53" spans="3:15" ht="8.1" customHeight="1" thickBot="1">
      <c r="C53" s="42"/>
      <c r="D53" s="42"/>
      <c r="E53" s="39"/>
      <c r="F53" s="43"/>
      <c r="G53" s="24"/>
      <c r="H53" s="44"/>
    </row>
    <row r="54" spans="3:15" ht="15.95" customHeight="1" thickBot="1">
      <c r="C54" s="583" t="s">
        <v>165</v>
      </c>
      <c r="D54" s="584"/>
      <c r="E54" s="584"/>
      <c r="F54" s="585"/>
      <c r="G54" s="77">
        <f>G33+G35+G38+G47</f>
        <v>16073608</v>
      </c>
      <c r="H54" s="78">
        <f>H33+H35+H38+H47</f>
        <v>19122429.600000001</v>
      </c>
    </row>
    <row r="55" spans="3:15" ht="8.1" customHeight="1" thickBot="1">
      <c r="G55" s="45"/>
      <c r="H55" s="46"/>
    </row>
    <row r="56" spans="3:15" ht="15.75">
      <c r="C56" s="200" t="s">
        <v>159</v>
      </c>
      <c r="D56" s="201" t="s">
        <v>162</v>
      </c>
      <c r="E56" s="202"/>
      <c r="F56" s="203">
        <f>SUM(F57:F59)</f>
        <v>0.125</v>
      </c>
      <c r="G56" s="204">
        <f>SUM(G57,G58)</f>
        <v>2009201</v>
      </c>
      <c r="H56" s="175">
        <f>SUM(H57,H58)</f>
        <v>2411041.1999999997</v>
      </c>
      <c r="K56" s="61"/>
    </row>
    <row r="57" spans="3:15" ht="16.5">
      <c r="C57" s="197" t="s">
        <v>160</v>
      </c>
      <c r="D57" s="240" t="s">
        <v>163</v>
      </c>
      <c r="E57" s="39"/>
      <c r="F57" s="241">
        <v>0.05</v>
      </c>
      <c r="G57" s="24">
        <f>G54*F57</f>
        <v>803680.4</v>
      </c>
      <c r="H57" s="177">
        <f>G57*1.2</f>
        <v>964416.48</v>
      </c>
    </row>
    <row r="58" spans="3:15" ht="15.6" customHeight="1" thickBot="1">
      <c r="C58" s="198" t="s">
        <v>161</v>
      </c>
      <c r="D58" s="199" t="s">
        <v>164</v>
      </c>
      <c r="E58" s="54"/>
      <c r="F58" s="205">
        <v>7.4999999999999997E-2</v>
      </c>
      <c r="G58" s="59">
        <f>G54*F58</f>
        <v>1205520.5999999999</v>
      </c>
      <c r="H58" s="179">
        <f>G58*1.2</f>
        <v>1446624.7199999997</v>
      </c>
    </row>
    <row r="59" spans="3:15" ht="15.6" customHeight="1" thickBot="1">
      <c r="C59" s="54"/>
      <c r="D59" s="54"/>
      <c r="E59" s="54"/>
      <c r="F59" s="58"/>
      <c r="G59" s="59"/>
      <c r="H59" s="60"/>
    </row>
    <row r="60" spans="3:15" ht="18.75" thickBot="1">
      <c r="C60" s="591" t="s">
        <v>67</v>
      </c>
      <c r="D60" s="592"/>
      <c r="E60" s="592"/>
      <c r="F60" s="593"/>
      <c r="G60" s="109">
        <f>G54+G56</f>
        <v>18082809</v>
      </c>
      <c r="H60" s="109">
        <f>H54+H56</f>
        <v>21533470.800000001</v>
      </c>
    </row>
    <row r="62" spans="3:15" s="4" customFormat="1" ht="20.100000000000001" customHeight="1">
      <c r="C62" s="14" t="s">
        <v>178</v>
      </c>
      <c r="D62" s="14"/>
      <c r="E62" s="15"/>
      <c r="F62" s="16"/>
      <c r="G62" s="16"/>
      <c r="H62" s="17"/>
      <c r="K62"/>
      <c r="L62"/>
    </row>
    <row r="63" spans="3:15" ht="23.1" customHeight="1">
      <c r="C63" s="589" t="s">
        <v>40</v>
      </c>
      <c r="D63" s="590"/>
      <c r="E63" s="20" t="s">
        <v>168</v>
      </c>
      <c r="F63" s="222"/>
      <c r="G63" s="222" t="s">
        <v>170</v>
      </c>
      <c r="H63" s="211" t="s">
        <v>169</v>
      </c>
      <c r="N63" s="139" t="s">
        <v>93</v>
      </c>
      <c r="O63" s="20" t="s">
        <v>41</v>
      </c>
    </row>
    <row r="64" spans="3:15" ht="9" customHeight="1" thickBot="1">
      <c r="C64" s="212"/>
      <c r="D64" s="39"/>
      <c r="E64" s="39"/>
      <c r="F64" s="223"/>
      <c r="G64" s="24"/>
      <c r="H64" s="177"/>
      <c r="N64" s="146"/>
      <c r="O64" s="147"/>
    </row>
    <row r="65" spans="3:15" ht="17.25" thickBot="1">
      <c r="C65" s="213" t="s">
        <v>126</v>
      </c>
      <c r="D65" s="236" t="s">
        <v>167</v>
      </c>
      <c r="E65" s="242"/>
      <c r="F65" s="238"/>
      <c r="G65" s="239"/>
      <c r="H65" s="209">
        <f>SUM(H66:H68)</f>
        <v>89200</v>
      </c>
      <c r="N65" s="148" t="s">
        <v>45</v>
      </c>
      <c r="O65" s="149"/>
    </row>
    <row r="66" spans="3:15" ht="16.5">
      <c r="C66" s="197" t="s">
        <v>130</v>
      </c>
      <c r="D66" s="240" t="s">
        <v>172</v>
      </c>
      <c r="E66" s="243">
        <v>230</v>
      </c>
      <c r="F66" s="244" t="s">
        <v>171</v>
      </c>
      <c r="G66" s="24">
        <v>140</v>
      </c>
      <c r="H66" s="177">
        <f>E66*G66</f>
        <v>32200</v>
      </c>
      <c r="N66" s="102" t="s">
        <v>75</v>
      </c>
      <c r="O66" s="140">
        <f>SUM(O67:O69)</f>
        <v>2200</v>
      </c>
    </row>
    <row r="67" spans="3:15" ht="16.5">
      <c r="C67" s="197" t="s">
        <v>131</v>
      </c>
      <c r="D67" s="240" t="s">
        <v>173</v>
      </c>
      <c r="E67" s="243">
        <v>350</v>
      </c>
      <c r="F67" s="244" t="s">
        <v>171</v>
      </c>
      <c r="G67" s="24">
        <v>120</v>
      </c>
      <c r="H67" s="177">
        <f>E67*G67</f>
        <v>42000</v>
      </c>
      <c r="N67" s="102" t="s">
        <v>86</v>
      </c>
      <c r="O67" s="140">
        <v>1150</v>
      </c>
    </row>
    <row r="68" spans="3:15" ht="16.5">
      <c r="C68" s="197" t="s">
        <v>137</v>
      </c>
      <c r="D68" s="240" t="s">
        <v>174</v>
      </c>
      <c r="E68" s="243">
        <v>3000</v>
      </c>
      <c r="F68" s="244" t="s">
        <v>175</v>
      </c>
      <c r="G68" s="24">
        <v>5</v>
      </c>
      <c r="H68" s="177">
        <f>E68*G68</f>
        <v>15000</v>
      </c>
      <c r="N68" s="102"/>
      <c r="O68" s="140"/>
    </row>
    <row r="69" spans="3:15" ht="32.25" thickBot="1">
      <c r="C69" s="214" t="s">
        <v>139</v>
      </c>
      <c r="D69" s="215" t="s">
        <v>176</v>
      </c>
      <c r="E69" s="216"/>
      <c r="F69" s="217"/>
      <c r="G69" s="218"/>
      <c r="H69" s="219">
        <v>133359</v>
      </c>
      <c r="N69" s="102" t="s">
        <v>84</v>
      </c>
      <c r="O69" s="140">
        <v>1050</v>
      </c>
    </row>
  </sheetData>
  <mergeCells count="14">
    <mergeCell ref="C63:D63"/>
    <mergeCell ref="C60:F60"/>
    <mergeCell ref="C12:H12"/>
    <mergeCell ref="C10:H10"/>
    <mergeCell ref="C11:H11"/>
    <mergeCell ref="C13:H13"/>
    <mergeCell ref="C15:D15"/>
    <mergeCell ref="C6:H6"/>
    <mergeCell ref="C5:H5"/>
    <mergeCell ref="C3:G3"/>
    <mergeCell ref="C33:F33"/>
    <mergeCell ref="C54:F54"/>
    <mergeCell ref="C8:H8"/>
    <mergeCell ref="C9:H9"/>
  </mergeCells>
  <phoneticPr fontId="47" type="noConversion"/>
  <pageMargins left="0.7" right="0.7" top="0.75" bottom="0.75" header="0.3" footer="0.3"/>
  <pageSetup paperSize="9" scale="49" orientation="portrait" r:id="rId1"/>
  <headerFooter>
    <oddHeader>&amp;L&amp;"Calibri,Normal"&amp;K000000&amp;D&amp;C&amp;"Calibri,Normal"&amp;K000000Centre Hospitalier Intercommunal Nord Ardennes</oddHeader>
    <oddFooter>&amp;L&amp;"Calibri,Normal"&amp;K000000Amirato - Groupe Phicap&amp;C&amp;"Calibri,Normal"&amp;K000000CHINA - Construction d’un Oncopôle&amp;R&amp;"Calibri,Normal"&amp;K000000- &amp;P</oddFooter>
  </headerFooter>
  <ignoredErrors>
    <ignoredError sqref="G26 H51" formula="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8"/>
  <sheetViews>
    <sheetView showGridLines="0" view="pageBreakPreview" zoomScale="91" zoomScaleNormal="100" workbookViewId="0">
      <selection activeCell="R50" sqref="R50"/>
    </sheetView>
  </sheetViews>
  <sheetFormatPr baseColWidth="10" defaultRowHeight="15"/>
  <cols>
    <col min="2" max="2" width="2.42578125" customWidth="1"/>
    <col min="3" max="3" width="60" customWidth="1"/>
    <col min="4" max="4" width="23.7109375" customWidth="1"/>
    <col min="5" max="5" width="13.7109375" customWidth="1"/>
    <col min="6" max="6" width="22.85546875" customWidth="1"/>
    <col min="7" max="7" width="21.42578125" customWidth="1"/>
    <col min="8" max="8" width="2.42578125" customWidth="1"/>
    <col min="10" max="10" width="14.42578125" hidden="1" customWidth="1"/>
    <col min="11" max="12" width="0" hidden="1" customWidth="1"/>
    <col min="13" max="13" width="69.7109375" hidden="1" customWidth="1"/>
    <col min="14" max="14" width="17.28515625" hidden="1" customWidth="1"/>
    <col min="15" max="16" width="0" hidden="1" customWidth="1"/>
  </cols>
  <sheetData>
    <row r="1" spans="2:14" ht="15.75" thickBot="1"/>
    <row r="2" spans="2:14">
      <c r="B2" s="6"/>
      <c r="C2" s="7"/>
      <c r="D2" s="7"/>
      <c r="E2" s="7"/>
      <c r="F2" s="7"/>
      <c r="G2" s="7"/>
      <c r="H2" s="8"/>
    </row>
    <row r="3" spans="2:14" ht="45" customHeight="1">
      <c r="B3" s="9"/>
      <c r="C3" s="580" t="s">
        <v>68</v>
      </c>
      <c r="D3" s="580"/>
      <c r="E3" s="580"/>
      <c r="F3" s="580"/>
      <c r="H3" s="10"/>
    </row>
    <row r="4" spans="2:14" ht="15.75">
      <c r="B4" s="9"/>
      <c r="C4" s="11"/>
      <c r="D4" s="12"/>
      <c r="H4" s="10"/>
    </row>
    <row r="5" spans="2:14" s="4" customFormat="1" ht="33.950000000000003" customHeight="1">
      <c r="B5" s="13"/>
      <c r="C5" s="14"/>
      <c r="D5" s="15"/>
      <c r="E5" s="16"/>
      <c r="F5" s="16"/>
      <c r="G5" s="17"/>
      <c r="H5" s="18"/>
      <c r="J5"/>
      <c r="K5"/>
    </row>
    <row r="6" spans="2:14" ht="44.1" customHeight="1">
      <c r="B6" s="9"/>
      <c r="C6" s="19" t="s">
        <v>40</v>
      </c>
      <c r="D6" s="20" t="s">
        <v>41</v>
      </c>
      <c r="E6" s="20" t="s">
        <v>42</v>
      </c>
      <c r="F6" s="20" t="s">
        <v>43</v>
      </c>
      <c r="G6" s="20" t="s">
        <v>44</v>
      </c>
      <c r="H6" s="10"/>
      <c r="M6" s="139" t="s">
        <v>93</v>
      </c>
      <c r="N6" s="20" t="s">
        <v>41</v>
      </c>
    </row>
    <row r="7" spans="2:14" ht="16.5" thickBot="1">
      <c r="B7" s="9"/>
      <c r="C7" s="21"/>
      <c r="D7" s="22"/>
      <c r="E7" s="23"/>
      <c r="F7" s="24"/>
      <c r="G7" s="25"/>
      <c r="H7" s="10"/>
      <c r="M7" s="146"/>
      <c r="N7" s="147"/>
    </row>
    <row r="8" spans="2:14" ht="16.5" thickBot="1">
      <c r="B8" s="9"/>
      <c r="C8" s="79" t="s">
        <v>45</v>
      </c>
      <c r="D8" s="80"/>
      <c r="E8" s="81"/>
      <c r="F8" s="82"/>
      <c r="G8" s="83"/>
      <c r="H8" s="10"/>
      <c r="M8" s="148" t="s">
        <v>45</v>
      </c>
      <c r="N8" s="149"/>
    </row>
    <row r="9" spans="2:14" ht="15.75">
      <c r="B9" s="9"/>
      <c r="C9" s="102" t="s">
        <v>75</v>
      </c>
      <c r="D9" s="111">
        <f>SUM(D10:D15)</f>
        <v>4800</v>
      </c>
      <c r="E9" s="36"/>
      <c r="F9" s="103">
        <f>SUM(F10:F15)</f>
        <v>13895000</v>
      </c>
      <c r="G9" s="104">
        <f>F9*1.2</f>
        <v>16674000</v>
      </c>
      <c r="H9" s="10"/>
      <c r="M9" s="102" t="s">
        <v>75</v>
      </c>
      <c r="N9" s="140">
        <f>SUM(N10:N15)</f>
        <v>4800</v>
      </c>
    </row>
    <row r="10" spans="2:14" ht="16.5">
      <c r="B10" s="9"/>
      <c r="C10" s="26" t="s">
        <v>86</v>
      </c>
      <c r="D10" s="27">
        <v>1150</v>
      </c>
      <c r="E10" s="113">
        <v>2800</v>
      </c>
      <c r="F10" s="28">
        <f t="shared" ref="F10:F14" si="0">D10*E10</f>
        <v>3220000</v>
      </c>
      <c r="G10" s="29">
        <f>F10*1.2</f>
        <v>3864000</v>
      </c>
      <c r="H10" s="10"/>
      <c r="M10" s="26" t="s">
        <v>86</v>
      </c>
      <c r="N10" s="141">
        <v>1150</v>
      </c>
    </row>
    <row r="11" spans="2:14" ht="16.5">
      <c r="B11" s="9"/>
      <c r="C11" s="26" t="s">
        <v>85</v>
      </c>
      <c r="D11" s="27">
        <v>750</v>
      </c>
      <c r="E11" s="113">
        <v>4700</v>
      </c>
      <c r="F11" s="28">
        <f t="shared" si="0"/>
        <v>3525000</v>
      </c>
      <c r="G11" s="29">
        <f t="shared" ref="G11:G13" si="1">F11*1.2</f>
        <v>4230000</v>
      </c>
      <c r="H11" s="10"/>
      <c r="M11" s="26" t="s">
        <v>85</v>
      </c>
      <c r="N11" s="141">
        <v>750</v>
      </c>
    </row>
    <row r="12" spans="2:14" ht="16.5">
      <c r="B12" s="9"/>
      <c r="C12" s="26" t="s">
        <v>84</v>
      </c>
      <c r="D12" s="65">
        <v>1050</v>
      </c>
      <c r="E12" s="114">
        <v>2800</v>
      </c>
      <c r="F12" s="28">
        <f t="shared" si="0"/>
        <v>2940000</v>
      </c>
      <c r="G12" s="29">
        <f t="shared" si="1"/>
        <v>3528000</v>
      </c>
      <c r="H12" s="10"/>
      <c r="M12" s="26" t="s">
        <v>84</v>
      </c>
      <c r="N12" s="141">
        <v>1050</v>
      </c>
    </row>
    <row r="13" spans="2:14" ht="16.5">
      <c r="B13" s="9"/>
      <c r="C13" s="26" t="s">
        <v>79</v>
      </c>
      <c r="D13" s="65">
        <v>500</v>
      </c>
      <c r="E13" s="114">
        <v>2650</v>
      </c>
      <c r="F13" s="28">
        <f t="shared" si="0"/>
        <v>1325000</v>
      </c>
      <c r="G13" s="29">
        <f t="shared" si="1"/>
        <v>1590000</v>
      </c>
      <c r="H13" s="10"/>
      <c r="M13" s="26" t="s">
        <v>79</v>
      </c>
      <c r="N13" s="141">
        <v>500</v>
      </c>
    </row>
    <row r="14" spans="2:14" ht="16.5">
      <c r="B14" s="9"/>
      <c r="C14" s="26" t="s">
        <v>88</v>
      </c>
      <c r="D14" s="65">
        <v>1100</v>
      </c>
      <c r="E14" s="114">
        <v>2100</v>
      </c>
      <c r="F14" s="28">
        <f t="shared" si="0"/>
        <v>2310000</v>
      </c>
      <c r="G14" s="29">
        <f>F14*1.2</f>
        <v>2772000</v>
      </c>
      <c r="H14" s="10"/>
      <c r="M14" s="26" t="s">
        <v>88</v>
      </c>
      <c r="N14" s="141">
        <v>1100</v>
      </c>
    </row>
    <row r="15" spans="2:14" ht="17.25" thickBot="1">
      <c r="B15" s="9"/>
      <c r="C15" s="84" t="s">
        <v>87</v>
      </c>
      <c r="D15" s="85">
        <v>250</v>
      </c>
      <c r="E15" s="115">
        <v>2300</v>
      </c>
      <c r="F15" s="86">
        <f t="shared" ref="F15" si="2">D15*E15</f>
        <v>575000</v>
      </c>
      <c r="G15" s="87">
        <f t="shared" ref="G15" si="3">F15*1.2</f>
        <v>690000</v>
      </c>
      <c r="H15" s="10"/>
      <c r="M15" s="84" t="s">
        <v>87</v>
      </c>
      <c r="N15" s="142">
        <v>250</v>
      </c>
    </row>
    <row r="16" spans="2:14" ht="17.25" thickBot="1">
      <c r="B16" s="9"/>
      <c r="C16" s="35"/>
      <c r="D16" s="31"/>
      <c r="E16" s="32"/>
      <c r="F16" s="33"/>
      <c r="G16" s="34"/>
      <c r="H16" s="10"/>
      <c r="M16" s="1"/>
      <c r="N16" s="1"/>
    </row>
    <row r="17" spans="2:14" ht="16.5" thickBot="1">
      <c r="B17" s="9"/>
      <c r="C17" s="88" t="s">
        <v>73</v>
      </c>
      <c r="D17" s="89"/>
      <c r="E17" s="90"/>
      <c r="F17" s="91"/>
      <c r="G17" s="92"/>
      <c r="H17" s="10"/>
      <c r="M17" s="145" t="s">
        <v>90</v>
      </c>
      <c r="N17" s="154">
        <v>15895000</v>
      </c>
    </row>
    <row r="18" spans="2:14" ht="17.25" thickBot="1">
      <c r="B18" s="9"/>
      <c r="C18" s="84" t="s">
        <v>83</v>
      </c>
      <c r="D18" s="93"/>
      <c r="E18" s="94"/>
      <c r="F18" s="95">
        <v>0</v>
      </c>
      <c r="G18" s="96">
        <f>F18*1.2</f>
        <v>0</v>
      </c>
      <c r="H18" s="10"/>
      <c r="M18" s="145" t="s">
        <v>91</v>
      </c>
      <c r="N18" s="154">
        <v>25813788.75</v>
      </c>
    </row>
    <row r="19" spans="2:14" ht="17.25" thickBot="1">
      <c r="B19" s="9"/>
      <c r="C19" s="35"/>
      <c r="D19" s="31"/>
      <c r="E19" s="32"/>
      <c r="F19" s="33"/>
      <c r="G19" s="34"/>
      <c r="H19" s="10"/>
    </row>
    <row r="20" spans="2:14" ht="18.75" thickBot="1">
      <c r="B20" s="9"/>
      <c r="C20" s="599" t="s">
        <v>46</v>
      </c>
      <c r="D20" s="600"/>
      <c r="E20" s="601"/>
      <c r="F20" s="109">
        <f>F18+F9</f>
        <v>13895000</v>
      </c>
      <c r="G20" s="109">
        <f>G18+G9</f>
        <v>16674000</v>
      </c>
      <c r="H20" s="10"/>
    </row>
    <row r="21" spans="2:14" ht="16.5" thickBot="1">
      <c r="B21" s="9"/>
      <c r="D21" s="31"/>
      <c r="E21" s="32"/>
      <c r="F21" s="33"/>
      <c r="G21" s="34"/>
      <c r="H21" s="10"/>
    </row>
    <row r="22" spans="2:14" ht="16.5">
      <c r="B22" s="9"/>
      <c r="C22" s="67" t="s">
        <v>47</v>
      </c>
      <c r="D22" s="68"/>
      <c r="E22" s="69"/>
      <c r="F22" s="70">
        <f>F23</f>
        <v>455000</v>
      </c>
      <c r="G22" s="71">
        <f>F22*1.2</f>
        <v>546000</v>
      </c>
      <c r="H22" s="10"/>
    </row>
    <row r="23" spans="2:14" ht="16.5">
      <c r="B23" s="9"/>
      <c r="C23" s="30" t="s">
        <v>48</v>
      </c>
      <c r="D23" s="31">
        <f>SUM(D10:D14)</f>
        <v>4550</v>
      </c>
      <c r="E23" s="32">
        <v>100</v>
      </c>
      <c r="F23" s="33">
        <f>+D23*E23</f>
        <v>455000</v>
      </c>
      <c r="G23" s="34">
        <f>F23*1.2</f>
        <v>546000</v>
      </c>
      <c r="H23" s="10"/>
    </row>
    <row r="24" spans="2:14" ht="16.5">
      <c r="B24" s="9"/>
      <c r="C24" s="30"/>
      <c r="D24" s="31"/>
      <c r="E24" s="32"/>
      <c r="F24" s="33"/>
      <c r="G24" s="72"/>
      <c r="H24" s="10"/>
    </row>
    <row r="25" spans="2:14" ht="15.75">
      <c r="B25" s="9"/>
      <c r="C25" s="73" t="s">
        <v>49</v>
      </c>
      <c r="D25" s="36"/>
      <c r="E25" s="37">
        <f>SUM(E26:E32)</f>
        <v>0.13500000000000001</v>
      </c>
      <c r="F25" s="38">
        <f>+SUM(F26:F32)</f>
        <v>1937250</v>
      </c>
      <c r="G25" s="74">
        <f>SUM(G26:G32)</f>
        <v>2324700</v>
      </c>
      <c r="H25" s="10"/>
    </row>
    <row r="26" spans="2:14" ht="16.5">
      <c r="B26" s="9"/>
      <c r="C26" s="30" t="s">
        <v>50</v>
      </c>
      <c r="D26" s="39"/>
      <c r="E26" s="40">
        <v>0.1</v>
      </c>
      <c r="F26" s="41">
        <f>($F$20+$F$22)*E26</f>
        <v>1435000</v>
      </c>
      <c r="G26" s="25">
        <f>F26*1.2</f>
        <v>1722000</v>
      </c>
      <c r="H26" s="10"/>
    </row>
    <row r="27" spans="2:14" ht="15.6" customHeight="1">
      <c r="B27" s="9"/>
      <c r="C27" s="30" t="s">
        <v>51</v>
      </c>
      <c r="D27" s="39"/>
      <c r="E27" s="40">
        <v>5.0000000000000001E-3</v>
      </c>
      <c r="F27" s="41">
        <f t="shared" ref="F27:F32" si="4">($F$20+$F$22)*E27</f>
        <v>71750</v>
      </c>
      <c r="G27" s="25">
        <f t="shared" ref="G27:G32" si="5">F27*1.2</f>
        <v>86100</v>
      </c>
      <c r="H27" s="10"/>
    </row>
    <row r="28" spans="2:14" ht="15.6" customHeight="1">
      <c r="B28" s="9"/>
      <c r="C28" s="30" t="s">
        <v>52</v>
      </c>
      <c r="D28" s="39"/>
      <c r="E28" s="40">
        <v>1.2999999999999999E-2</v>
      </c>
      <c r="F28" s="41">
        <f t="shared" si="4"/>
        <v>186550</v>
      </c>
      <c r="G28" s="25">
        <f t="shared" si="5"/>
        <v>223860</v>
      </c>
      <c r="H28" s="10"/>
    </row>
    <row r="29" spans="2:14" ht="15.6" customHeight="1">
      <c r="B29" s="9"/>
      <c r="C29" s="30" t="s">
        <v>53</v>
      </c>
      <c r="D29" s="39"/>
      <c r="E29" s="40">
        <v>5.0000000000000001E-3</v>
      </c>
      <c r="F29" s="41">
        <f t="shared" si="4"/>
        <v>71750</v>
      </c>
      <c r="G29" s="25">
        <f t="shared" si="5"/>
        <v>86100</v>
      </c>
      <c r="H29" s="10"/>
    </row>
    <row r="30" spans="2:14" ht="15.6" customHeight="1">
      <c r="B30" s="9"/>
      <c r="C30" s="30" t="s">
        <v>54</v>
      </c>
      <c r="D30" s="39"/>
      <c r="E30" s="40">
        <v>5.0000000000000001E-3</v>
      </c>
      <c r="F30" s="41">
        <f t="shared" si="4"/>
        <v>71750</v>
      </c>
      <c r="G30" s="25">
        <f t="shared" si="5"/>
        <v>86100</v>
      </c>
      <c r="H30" s="10"/>
    </row>
    <row r="31" spans="2:14" ht="15.6" customHeight="1">
      <c r="B31" s="9"/>
      <c r="C31" s="30" t="s">
        <v>55</v>
      </c>
      <c r="D31" s="39"/>
      <c r="E31" s="40">
        <f>0.003</f>
        <v>3.0000000000000001E-3</v>
      </c>
      <c r="F31" s="41">
        <f t="shared" si="4"/>
        <v>43050</v>
      </c>
      <c r="G31" s="25">
        <f t="shared" si="5"/>
        <v>51660</v>
      </c>
      <c r="H31" s="10"/>
    </row>
    <row r="32" spans="2:14" ht="15.6" customHeight="1">
      <c r="B32" s="9"/>
      <c r="C32" s="30" t="s">
        <v>56</v>
      </c>
      <c r="D32" s="39"/>
      <c r="E32" s="40">
        <v>4.0000000000000001E-3</v>
      </c>
      <c r="F32" s="41">
        <f t="shared" si="4"/>
        <v>57400</v>
      </c>
      <c r="G32" s="25">
        <f t="shared" si="5"/>
        <v>68880</v>
      </c>
      <c r="H32" s="10"/>
    </row>
    <row r="33" spans="2:10" ht="15.6" customHeight="1">
      <c r="B33" s="9"/>
      <c r="C33" s="21"/>
      <c r="D33" s="39"/>
      <c r="E33" s="40"/>
      <c r="F33" s="41"/>
      <c r="G33" s="25"/>
      <c r="H33" s="10"/>
    </row>
    <row r="34" spans="2:10" ht="16.5">
      <c r="B34" s="9"/>
      <c r="C34" s="75" t="s">
        <v>57</v>
      </c>
      <c r="D34" s="36"/>
      <c r="E34" s="37">
        <f>SUM(E35:E39)</f>
        <v>3.4500000000000003E-2</v>
      </c>
      <c r="F34" s="38">
        <f>SUM(F35:F39)</f>
        <v>495075</v>
      </c>
      <c r="G34" s="74">
        <f>F34*1.2</f>
        <v>594090</v>
      </c>
      <c r="H34" s="10"/>
    </row>
    <row r="35" spans="2:10" ht="16.5">
      <c r="B35" s="9"/>
      <c r="C35" s="30" t="s">
        <v>58</v>
      </c>
      <c r="D35" s="39"/>
      <c r="E35" s="40">
        <v>1E-3</v>
      </c>
      <c r="F35" s="41">
        <f>E35*($F$20+$F$22)</f>
        <v>14350</v>
      </c>
      <c r="G35" s="25">
        <f t="shared" ref="G35:G39" si="6">F35*1.2</f>
        <v>17220</v>
      </c>
      <c r="H35" s="10"/>
    </row>
    <row r="36" spans="2:10" ht="15.6" customHeight="1">
      <c r="B36" s="9"/>
      <c r="C36" s="30" t="s">
        <v>59</v>
      </c>
      <c r="D36" s="39"/>
      <c r="E36" s="40">
        <v>1E-3</v>
      </c>
      <c r="F36" s="41">
        <f t="shared" ref="F36:F39" si="7">E36*($F$20+$F$22)</f>
        <v>14350</v>
      </c>
      <c r="G36" s="25">
        <f t="shared" si="6"/>
        <v>17220</v>
      </c>
      <c r="H36" s="10"/>
    </row>
    <row r="37" spans="2:10" ht="15.6" customHeight="1">
      <c r="B37" s="9"/>
      <c r="C37" s="30" t="s">
        <v>60</v>
      </c>
      <c r="D37" s="39"/>
      <c r="E37" s="40">
        <v>0.02</v>
      </c>
      <c r="F37" s="41">
        <f t="shared" si="7"/>
        <v>287000</v>
      </c>
      <c r="G37" s="25">
        <f t="shared" si="6"/>
        <v>344400</v>
      </c>
      <c r="H37" s="10"/>
    </row>
    <row r="38" spans="2:10" ht="15.6" customHeight="1">
      <c r="B38" s="9"/>
      <c r="C38" s="30" t="s">
        <v>61</v>
      </c>
      <c r="D38" s="39"/>
      <c r="E38" s="40">
        <v>0.01</v>
      </c>
      <c r="F38" s="41">
        <f t="shared" si="7"/>
        <v>143500</v>
      </c>
      <c r="G38" s="25">
        <f>F38</f>
        <v>143500</v>
      </c>
      <c r="H38" s="10"/>
    </row>
    <row r="39" spans="2:10" ht="15.6" customHeight="1" thickBot="1">
      <c r="B39" s="9"/>
      <c r="C39" s="53" t="s">
        <v>62</v>
      </c>
      <c r="D39" s="54"/>
      <c r="E39" s="76">
        <v>2.5000000000000001E-3</v>
      </c>
      <c r="F39" s="56">
        <f t="shared" si="7"/>
        <v>35875</v>
      </c>
      <c r="G39" s="57">
        <f t="shared" si="6"/>
        <v>43050</v>
      </c>
      <c r="H39" s="10"/>
    </row>
    <row r="40" spans="2:10" ht="15.6" customHeight="1" thickBot="1">
      <c r="B40" s="9"/>
      <c r="C40" s="42"/>
      <c r="D40" s="39"/>
      <c r="E40" s="43"/>
      <c r="F40" s="24"/>
      <c r="G40" s="44"/>
      <c r="H40" s="10"/>
    </row>
    <row r="41" spans="2:10" ht="15.95" customHeight="1" thickBot="1">
      <c r="B41" s="9"/>
      <c r="C41" s="599" t="s">
        <v>63</v>
      </c>
      <c r="D41" s="600"/>
      <c r="E41" s="601"/>
      <c r="F41" s="77">
        <f>F20+F22+F25+F34</f>
        <v>16782325</v>
      </c>
      <c r="G41" s="78">
        <f>G20+G22+G25+G34</f>
        <v>20138790</v>
      </c>
      <c r="H41" s="10"/>
    </row>
    <row r="42" spans="2:10" ht="15.95" customHeight="1" thickBot="1">
      <c r="B42" s="9"/>
      <c r="F42" s="45"/>
      <c r="G42" s="46"/>
      <c r="H42" s="10"/>
    </row>
    <row r="43" spans="2:10" ht="15.75">
      <c r="B43" s="9"/>
      <c r="C43" s="47" t="s">
        <v>64</v>
      </c>
      <c r="D43" s="48"/>
      <c r="E43" s="49">
        <f>SUM(E44:E46)</f>
        <v>0.125</v>
      </c>
      <c r="F43" s="50">
        <f>SUM(F44,F45)</f>
        <v>2097790.625</v>
      </c>
      <c r="G43" s="51">
        <f>SUM(G44,G45)</f>
        <v>2517348.75</v>
      </c>
      <c r="H43" s="10"/>
      <c r="J43" s="61"/>
    </row>
    <row r="44" spans="2:10" ht="16.5">
      <c r="B44" s="9"/>
      <c r="C44" s="30" t="s">
        <v>65</v>
      </c>
      <c r="D44" s="39"/>
      <c r="E44" s="52">
        <v>0.05</v>
      </c>
      <c r="F44" s="41">
        <f>F41*E44</f>
        <v>839116.25</v>
      </c>
      <c r="G44" s="25">
        <f>F44*1.2</f>
        <v>1006939.5</v>
      </c>
      <c r="H44" s="10"/>
    </row>
    <row r="45" spans="2:10" ht="15.6" customHeight="1" thickBot="1">
      <c r="B45" s="9"/>
      <c r="C45" s="53" t="s">
        <v>66</v>
      </c>
      <c r="D45" s="54"/>
      <c r="E45" s="55">
        <v>7.4999999999999997E-2</v>
      </c>
      <c r="F45" s="56">
        <f>F41*E45</f>
        <v>1258674.375</v>
      </c>
      <c r="G45" s="57">
        <f>F45*1.2</f>
        <v>1510409.25</v>
      </c>
      <c r="H45" s="10"/>
    </row>
    <row r="46" spans="2:10" ht="15.6" customHeight="1" thickBot="1">
      <c r="B46" s="9"/>
      <c r="C46" s="54"/>
      <c r="D46" s="54"/>
      <c r="E46" s="58"/>
      <c r="F46" s="59"/>
      <c r="G46" s="60"/>
      <c r="H46" s="10"/>
    </row>
    <row r="47" spans="2:10" ht="18.75" thickBot="1">
      <c r="B47" s="9"/>
      <c r="C47" s="602" t="s">
        <v>67</v>
      </c>
      <c r="D47" s="603"/>
      <c r="E47" s="604"/>
      <c r="F47" s="109">
        <f>F41+F43</f>
        <v>18880115.625</v>
      </c>
      <c r="G47" s="109">
        <f>G41+G43</f>
        <v>22656138.75</v>
      </c>
      <c r="H47" s="10"/>
    </row>
    <row r="48" spans="2:10" ht="15.75" thickBot="1">
      <c r="B48" s="62"/>
      <c r="C48" s="63"/>
      <c r="D48" s="63"/>
      <c r="E48" s="63"/>
      <c r="F48" s="63"/>
      <c r="G48" s="63"/>
      <c r="H48" s="64"/>
    </row>
  </sheetData>
  <mergeCells count="4">
    <mergeCell ref="C3:F3"/>
    <mergeCell ref="C20:E20"/>
    <mergeCell ref="C41:E41"/>
    <mergeCell ref="C47:E47"/>
  </mergeCells>
  <pageMargins left="0.7" right="0.7" top="0.75" bottom="0.75" header="0.3" footer="0.3"/>
  <pageSetup paperSize="9" scale="49" orientation="portrait" r:id="rId1"/>
  <ignoredErrors>
    <ignoredError sqref="D23" formulaRange="1"/>
    <ignoredError sqref="F25 G38" formula="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view="pageBreakPreview" zoomScale="64" zoomScaleNormal="100" workbookViewId="0">
      <selection activeCell="R50" sqref="R50"/>
    </sheetView>
  </sheetViews>
  <sheetFormatPr baseColWidth="10" defaultRowHeight="15"/>
  <cols>
    <col min="2" max="2" width="2.42578125" customWidth="1"/>
    <col min="3" max="3" width="60" customWidth="1"/>
    <col min="4" max="4" width="23.7109375" customWidth="1"/>
    <col min="5" max="5" width="13.7109375" customWidth="1"/>
    <col min="6" max="6" width="22.85546875" customWidth="1"/>
    <col min="7" max="7" width="21.42578125" customWidth="1"/>
    <col min="8" max="8" width="2.42578125" customWidth="1"/>
    <col min="10" max="11" width="0" hidden="1" customWidth="1"/>
    <col min="12" max="12" width="68.7109375" hidden="1" customWidth="1"/>
    <col min="13" max="13" width="16" hidden="1" customWidth="1"/>
    <col min="14" max="14" width="0" hidden="1" customWidth="1"/>
  </cols>
  <sheetData>
    <row r="1" spans="1:13" ht="15.75" thickBot="1"/>
    <row r="2" spans="1:13">
      <c r="B2" s="6"/>
      <c r="C2" s="7"/>
      <c r="D2" s="7"/>
      <c r="E2" s="7"/>
      <c r="F2" s="7"/>
      <c r="G2" s="7"/>
      <c r="H2" s="8"/>
    </row>
    <row r="3" spans="1:13" ht="25.5">
      <c r="B3" s="9"/>
      <c r="C3" s="580" t="s">
        <v>68</v>
      </c>
      <c r="D3" s="580"/>
      <c r="E3" s="580"/>
      <c r="F3" s="580"/>
      <c r="H3" s="10"/>
    </row>
    <row r="4" spans="1:13" ht="15.75">
      <c r="B4" s="9"/>
      <c r="C4" s="11"/>
      <c r="D4" s="12"/>
      <c r="H4" s="10"/>
    </row>
    <row r="5" spans="1:13" ht="23.25">
      <c r="A5" s="4"/>
      <c r="B5" s="13"/>
      <c r="C5" s="14"/>
      <c r="D5" s="15"/>
      <c r="E5" s="16"/>
      <c r="F5" s="16"/>
      <c r="G5" s="17"/>
      <c r="H5" s="18"/>
      <c r="I5" s="4"/>
    </row>
    <row r="6" spans="1:13" ht="45">
      <c r="B6" s="9"/>
      <c r="C6" s="19" t="s">
        <v>40</v>
      </c>
      <c r="D6" s="20" t="s">
        <v>41</v>
      </c>
      <c r="E6" s="20" t="s">
        <v>42</v>
      </c>
      <c r="F6" s="20" t="s">
        <v>43</v>
      </c>
      <c r="G6" s="20" t="s">
        <v>44</v>
      </c>
      <c r="H6" s="10"/>
      <c r="L6" s="139" t="s">
        <v>92</v>
      </c>
      <c r="M6" s="20" t="s">
        <v>41</v>
      </c>
    </row>
    <row r="7" spans="1:13" ht="16.5" thickBot="1">
      <c r="B7" s="9"/>
      <c r="C7" s="21"/>
      <c r="D7" s="22"/>
      <c r="E7" s="23"/>
      <c r="F7" s="24"/>
      <c r="G7" s="25"/>
      <c r="H7" s="10"/>
      <c r="L7" s="146"/>
      <c r="M7" s="147"/>
    </row>
    <row r="8" spans="1:13" ht="16.5" thickBot="1">
      <c r="B8" s="9"/>
      <c r="C8" s="79" t="s">
        <v>45</v>
      </c>
      <c r="D8" s="80"/>
      <c r="E8" s="81"/>
      <c r="F8" s="82"/>
      <c r="G8" s="83"/>
      <c r="H8" s="10"/>
      <c r="L8" s="148" t="s">
        <v>45</v>
      </c>
      <c r="M8" s="149"/>
    </row>
    <row r="9" spans="1:13" ht="15.75">
      <c r="B9" s="9"/>
      <c r="C9" s="102" t="s">
        <v>75</v>
      </c>
      <c r="D9" s="111">
        <f>SUM(D10:D14)</f>
        <v>3320</v>
      </c>
      <c r="E9" s="36"/>
      <c r="F9" s="103">
        <f>SUM(F10:F14)</f>
        <v>10113500</v>
      </c>
      <c r="G9" s="104">
        <f>F9*1.2</f>
        <v>12136200</v>
      </c>
      <c r="H9" s="10"/>
      <c r="L9" s="150" t="s">
        <v>75</v>
      </c>
      <c r="M9" s="151">
        <v>3320</v>
      </c>
    </row>
    <row r="10" spans="1:13" ht="16.5">
      <c r="B10" s="9"/>
      <c r="C10" s="26" t="s">
        <v>76</v>
      </c>
      <c r="D10" s="27">
        <v>1050</v>
      </c>
      <c r="E10" s="113">
        <v>3000</v>
      </c>
      <c r="F10" s="28">
        <f t="shared" ref="F10:F11" si="0">D10*E10</f>
        <v>3150000</v>
      </c>
      <c r="G10" s="29">
        <f>F10*1.2</f>
        <v>3780000</v>
      </c>
      <c r="H10" s="10"/>
      <c r="L10" s="143" t="s">
        <v>76</v>
      </c>
      <c r="M10" s="152">
        <v>1050</v>
      </c>
    </row>
    <row r="11" spans="1:13" ht="16.5">
      <c r="B11" s="9"/>
      <c r="C11" s="26" t="s">
        <v>77</v>
      </c>
      <c r="D11" s="27">
        <v>500</v>
      </c>
      <c r="E11" s="113">
        <v>4700</v>
      </c>
      <c r="F11" s="28">
        <f t="shared" si="0"/>
        <v>2350000</v>
      </c>
      <c r="G11" s="29">
        <f t="shared" ref="G11" si="1">F11*1.2</f>
        <v>2820000</v>
      </c>
      <c r="H11" s="10"/>
      <c r="L11" s="143" t="s">
        <v>77</v>
      </c>
      <c r="M11" s="152">
        <v>500</v>
      </c>
    </row>
    <row r="12" spans="1:13" ht="16.5">
      <c r="B12" s="9"/>
      <c r="C12" s="26" t="s">
        <v>84</v>
      </c>
      <c r="D12" s="65">
        <v>1050</v>
      </c>
      <c r="E12" s="114">
        <v>2650</v>
      </c>
      <c r="F12" s="28">
        <f t="shared" ref="F12" si="2">D12*E12</f>
        <v>2782500</v>
      </c>
      <c r="G12" s="29">
        <f t="shared" ref="G12" si="3">F12*1.2</f>
        <v>3339000</v>
      </c>
      <c r="H12" s="10"/>
      <c r="L12" s="143" t="s">
        <v>78</v>
      </c>
      <c r="M12" s="152">
        <v>1050</v>
      </c>
    </row>
    <row r="13" spans="1:13" ht="16.5">
      <c r="B13" s="9"/>
      <c r="C13" s="26" t="s">
        <v>79</v>
      </c>
      <c r="D13" s="65">
        <v>500</v>
      </c>
      <c r="E13" s="114">
        <v>2650</v>
      </c>
      <c r="F13" s="28">
        <f t="shared" ref="F13:F14" si="4">D13*E13</f>
        <v>1325000</v>
      </c>
      <c r="G13" s="29">
        <f t="shared" ref="G13:G14" si="5">F13*1.2</f>
        <v>1590000</v>
      </c>
      <c r="H13" s="10"/>
      <c r="L13" s="143" t="s">
        <v>79</v>
      </c>
      <c r="M13" s="152">
        <v>500</v>
      </c>
    </row>
    <row r="14" spans="1:13" ht="16.5">
      <c r="B14" s="9"/>
      <c r="C14" s="26" t="s">
        <v>80</v>
      </c>
      <c r="D14" s="110">
        <v>220</v>
      </c>
      <c r="E14" s="114">
        <v>2300</v>
      </c>
      <c r="F14" s="28">
        <f t="shared" si="4"/>
        <v>506000</v>
      </c>
      <c r="G14" s="29">
        <f t="shared" si="5"/>
        <v>607200</v>
      </c>
      <c r="H14" s="10"/>
      <c r="L14" s="143" t="s">
        <v>80</v>
      </c>
      <c r="M14" s="152">
        <v>220</v>
      </c>
    </row>
    <row r="15" spans="1:13" ht="15.75">
      <c r="B15" s="9"/>
      <c r="C15" s="102" t="s">
        <v>81</v>
      </c>
      <c r="D15" s="111">
        <f>SUM(D16)</f>
        <v>900</v>
      </c>
      <c r="E15" s="36"/>
      <c r="F15" s="103">
        <f>SUM(F16)</f>
        <v>1890000</v>
      </c>
      <c r="G15" s="104">
        <f>F15*1.1</f>
        <v>2079000.0000000002</v>
      </c>
      <c r="H15" s="10"/>
      <c r="L15" s="150" t="s">
        <v>81</v>
      </c>
      <c r="M15" s="151">
        <v>900</v>
      </c>
    </row>
    <row r="16" spans="1:13" ht="33.75" thickBot="1">
      <c r="B16" s="9"/>
      <c r="C16" s="84" t="s">
        <v>82</v>
      </c>
      <c r="D16" s="85">
        <v>900</v>
      </c>
      <c r="E16" s="115">
        <v>2100</v>
      </c>
      <c r="F16" s="86">
        <f t="shared" ref="F16" si="6">D16*E16</f>
        <v>1890000</v>
      </c>
      <c r="G16" s="87">
        <f>F16*1.1</f>
        <v>2079000.0000000002</v>
      </c>
      <c r="H16" s="10"/>
      <c r="L16" s="144" t="s">
        <v>82</v>
      </c>
      <c r="M16" s="153">
        <v>900</v>
      </c>
    </row>
    <row r="17" spans="2:13" ht="17.25" thickBot="1">
      <c r="B17" s="9"/>
      <c r="C17" s="35"/>
      <c r="D17" s="31"/>
      <c r="E17" s="32"/>
      <c r="F17" s="33"/>
      <c r="G17" s="34"/>
      <c r="H17" s="10"/>
      <c r="L17" s="1"/>
      <c r="M17" s="1"/>
    </row>
    <row r="18" spans="2:13" ht="16.5" thickBot="1">
      <c r="B18" s="9"/>
      <c r="C18" s="88" t="s">
        <v>73</v>
      </c>
      <c r="D18" s="89"/>
      <c r="E18" s="90"/>
      <c r="F18" s="91"/>
      <c r="G18" s="92"/>
      <c r="H18" s="10"/>
      <c r="L18" s="145" t="s">
        <v>90</v>
      </c>
      <c r="M18" s="154">
        <v>14003500</v>
      </c>
    </row>
    <row r="19" spans="2:13" ht="17.25" thickBot="1">
      <c r="B19" s="9"/>
      <c r="C19" s="84" t="s">
        <v>83</v>
      </c>
      <c r="D19" s="93"/>
      <c r="E19" s="94"/>
      <c r="F19" s="95">
        <v>2000000</v>
      </c>
      <c r="G19" s="96">
        <f>F19*1.2</f>
        <v>2400000</v>
      </c>
      <c r="H19" s="10"/>
      <c r="L19" s="145" t="s">
        <v>91</v>
      </c>
      <c r="M19" s="154">
        <v>22390188.412499998</v>
      </c>
    </row>
    <row r="20" spans="2:13" ht="17.25" thickBot="1">
      <c r="B20" s="9"/>
      <c r="C20" s="35"/>
      <c r="D20" s="31"/>
      <c r="E20" s="32"/>
      <c r="F20" s="33"/>
      <c r="G20" s="34"/>
      <c r="H20" s="10"/>
    </row>
    <row r="21" spans="2:13" ht="18.75" thickBot="1">
      <c r="B21" s="9"/>
      <c r="C21" s="599" t="s">
        <v>46</v>
      </c>
      <c r="D21" s="600"/>
      <c r="E21" s="601"/>
      <c r="F21" s="109">
        <f>F19+F15+F9</f>
        <v>14003500</v>
      </c>
      <c r="G21" s="109">
        <f>G19+G15+G9</f>
        <v>16615200</v>
      </c>
      <c r="H21" s="10"/>
    </row>
    <row r="22" spans="2:13" ht="16.5" thickBot="1">
      <c r="B22" s="9"/>
      <c r="D22" s="31"/>
      <c r="E22" s="32"/>
      <c r="F22" s="33"/>
      <c r="G22" s="34"/>
      <c r="H22" s="10"/>
    </row>
    <row r="23" spans="2:13" ht="16.5">
      <c r="B23" s="9"/>
      <c r="C23" s="67" t="s">
        <v>47</v>
      </c>
      <c r="D23" s="68"/>
      <c r="E23" s="69"/>
      <c r="F23" s="70">
        <f>F24</f>
        <v>310000</v>
      </c>
      <c r="G23" s="71">
        <f>F23*1.2</f>
        <v>372000</v>
      </c>
      <c r="H23" s="10"/>
    </row>
    <row r="24" spans="2:13" ht="16.5">
      <c r="B24" s="9"/>
      <c r="C24" s="30" t="s">
        <v>48</v>
      </c>
      <c r="D24" s="31">
        <f>SUM(D10:D13)</f>
        <v>3100</v>
      </c>
      <c r="E24" s="32">
        <v>100</v>
      </c>
      <c r="F24" s="33">
        <f>+D24*E24</f>
        <v>310000</v>
      </c>
      <c r="G24" s="34">
        <f>F24*1.2</f>
        <v>372000</v>
      </c>
      <c r="H24" s="10"/>
    </row>
    <row r="25" spans="2:13" ht="16.5">
      <c r="B25" s="9"/>
      <c r="C25" s="30"/>
      <c r="D25" s="31"/>
      <c r="E25" s="32"/>
      <c r="F25" s="33"/>
      <c r="G25" s="72"/>
      <c r="H25" s="10"/>
    </row>
    <row r="26" spans="2:13" ht="15.75">
      <c r="B26" s="9"/>
      <c r="C26" s="73" t="s">
        <v>49</v>
      </c>
      <c r="D26" s="36"/>
      <c r="E26" s="37">
        <f>SUM(E27:E33)</f>
        <v>0.13400000000000001</v>
      </c>
      <c r="F26" s="38">
        <f>+SUM(F27:F33)</f>
        <v>1918009</v>
      </c>
      <c r="G26" s="74">
        <f>SUM(G27:G33)</f>
        <v>2301610.8000000003</v>
      </c>
      <c r="H26" s="10"/>
    </row>
    <row r="27" spans="2:13" ht="16.5">
      <c r="B27" s="9"/>
      <c r="C27" s="30" t="s">
        <v>50</v>
      </c>
      <c r="D27" s="39"/>
      <c r="E27" s="40">
        <v>0.1</v>
      </c>
      <c r="F27" s="41">
        <f>($F$21+$F$23)*E27</f>
        <v>1431350</v>
      </c>
      <c r="G27" s="25">
        <f>F27*1.2</f>
        <v>1717620</v>
      </c>
      <c r="H27" s="10"/>
    </row>
    <row r="28" spans="2:13" ht="16.5">
      <c r="B28" s="9"/>
      <c r="C28" s="30" t="s">
        <v>51</v>
      </c>
      <c r="D28" s="39"/>
      <c r="E28" s="40">
        <v>4.0000000000000001E-3</v>
      </c>
      <c r="F28" s="41">
        <f t="shared" ref="F28:F33" si="7">($F$21+$F$23)*E28</f>
        <v>57254</v>
      </c>
      <c r="G28" s="25">
        <f t="shared" ref="G28:G33" si="8">F28*1.2</f>
        <v>68704.800000000003</v>
      </c>
      <c r="H28" s="10"/>
    </row>
    <row r="29" spans="2:13" ht="16.5">
      <c r="B29" s="9"/>
      <c r="C29" s="30" t="s">
        <v>52</v>
      </c>
      <c r="D29" s="39"/>
      <c r="E29" s="40">
        <v>1.2999999999999999E-2</v>
      </c>
      <c r="F29" s="41">
        <f t="shared" si="7"/>
        <v>186075.5</v>
      </c>
      <c r="G29" s="25">
        <f t="shared" si="8"/>
        <v>223290.6</v>
      </c>
      <c r="H29" s="10"/>
    </row>
    <row r="30" spans="2:13" ht="16.5">
      <c r="B30" s="9"/>
      <c r="C30" s="30" t="s">
        <v>53</v>
      </c>
      <c r="D30" s="39"/>
      <c r="E30" s="40">
        <v>5.0000000000000001E-3</v>
      </c>
      <c r="F30" s="41">
        <f t="shared" si="7"/>
        <v>71567.5</v>
      </c>
      <c r="G30" s="25">
        <f t="shared" si="8"/>
        <v>85881</v>
      </c>
      <c r="H30" s="10"/>
    </row>
    <row r="31" spans="2:13" ht="16.5">
      <c r="B31" s="9"/>
      <c r="C31" s="30" t="s">
        <v>54</v>
      </c>
      <c r="D31" s="39"/>
      <c r="E31" s="40">
        <v>5.0000000000000001E-3</v>
      </c>
      <c r="F31" s="41">
        <f t="shared" si="7"/>
        <v>71567.5</v>
      </c>
      <c r="G31" s="25">
        <f t="shared" si="8"/>
        <v>85881</v>
      </c>
      <c r="H31" s="10"/>
    </row>
    <row r="32" spans="2:13" ht="16.5">
      <c r="B32" s="9"/>
      <c r="C32" s="30" t="s">
        <v>55</v>
      </c>
      <c r="D32" s="39"/>
      <c r="E32" s="40">
        <f>0.003</f>
        <v>3.0000000000000001E-3</v>
      </c>
      <c r="F32" s="41">
        <f t="shared" si="7"/>
        <v>42940.5</v>
      </c>
      <c r="G32" s="25">
        <f t="shared" si="8"/>
        <v>51528.6</v>
      </c>
      <c r="H32" s="10"/>
    </row>
    <row r="33" spans="2:8" ht="16.5">
      <c r="B33" s="9"/>
      <c r="C33" s="30" t="s">
        <v>56</v>
      </c>
      <c r="D33" s="39"/>
      <c r="E33" s="40">
        <v>4.0000000000000001E-3</v>
      </c>
      <c r="F33" s="41">
        <f t="shared" si="7"/>
        <v>57254</v>
      </c>
      <c r="G33" s="25">
        <f t="shared" si="8"/>
        <v>68704.800000000003</v>
      </c>
      <c r="H33" s="10"/>
    </row>
    <row r="34" spans="2:8" ht="15.75">
      <c r="B34" s="9"/>
      <c r="C34" s="21"/>
      <c r="D34" s="39"/>
      <c r="E34" s="40"/>
      <c r="F34" s="41"/>
      <c r="G34" s="25"/>
      <c r="H34" s="10"/>
    </row>
    <row r="35" spans="2:8" ht="16.5">
      <c r="B35" s="9"/>
      <c r="C35" s="75" t="s">
        <v>57</v>
      </c>
      <c r="D35" s="36"/>
      <c r="E35" s="37">
        <f>SUM(E36:E40)</f>
        <v>3.4500000000000003E-2</v>
      </c>
      <c r="F35" s="38">
        <f>SUM(F36:F40)</f>
        <v>493815.75</v>
      </c>
      <c r="G35" s="74">
        <f>F35*1.2</f>
        <v>592578.9</v>
      </c>
      <c r="H35" s="10"/>
    </row>
    <row r="36" spans="2:8" ht="16.5">
      <c r="B36" s="9"/>
      <c r="C36" s="30" t="s">
        <v>58</v>
      </c>
      <c r="D36" s="39"/>
      <c r="E36" s="40">
        <v>1E-3</v>
      </c>
      <c r="F36" s="41">
        <f>E36*($F$21+$F$23)</f>
        <v>14313.5</v>
      </c>
      <c r="G36" s="25">
        <f t="shared" ref="G36:G40" si="9">F36*1.2</f>
        <v>17176.2</v>
      </c>
      <c r="H36" s="10"/>
    </row>
    <row r="37" spans="2:8" ht="16.5">
      <c r="B37" s="9"/>
      <c r="C37" s="30" t="s">
        <v>59</v>
      </c>
      <c r="D37" s="39"/>
      <c r="E37" s="40">
        <v>1E-3</v>
      </c>
      <c r="F37" s="41">
        <f t="shared" ref="F37:F40" si="10">E37*($F$21+$F$23)</f>
        <v>14313.5</v>
      </c>
      <c r="G37" s="25">
        <f t="shared" si="9"/>
        <v>17176.2</v>
      </c>
      <c r="H37" s="10"/>
    </row>
    <row r="38" spans="2:8" ht="16.5">
      <c r="B38" s="9"/>
      <c r="C38" s="30" t="s">
        <v>60</v>
      </c>
      <c r="D38" s="39"/>
      <c r="E38" s="40">
        <v>0.02</v>
      </c>
      <c r="F38" s="41">
        <f t="shared" si="10"/>
        <v>286270</v>
      </c>
      <c r="G38" s="25">
        <f t="shared" si="9"/>
        <v>343524</v>
      </c>
      <c r="H38" s="10"/>
    </row>
    <row r="39" spans="2:8" ht="16.5">
      <c r="B39" s="9"/>
      <c r="C39" s="30" t="s">
        <v>61</v>
      </c>
      <c r="D39" s="39"/>
      <c r="E39" s="40">
        <v>0.01</v>
      </c>
      <c r="F39" s="41">
        <f t="shared" si="10"/>
        <v>143135</v>
      </c>
      <c r="G39" s="25">
        <f>F39</f>
        <v>143135</v>
      </c>
      <c r="H39" s="10"/>
    </row>
    <row r="40" spans="2:8" ht="17.25" thickBot="1">
      <c r="B40" s="9"/>
      <c r="C40" s="53" t="s">
        <v>62</v>
      </c>
      <c r="D40" s="54"/>
      <c r="E40" s="76">
        <v>2.5000000000000001E-3</v>
      </c>
      <c r="F40" s="56">
        <f t="shared" si="10"/>
        <v>35783.75</v>
      </c>
      <c r="G40" s="57">
        <f t="shared" si="9"/>
        <v>42940.5</v>
      </c>
      <c r="H40" s="10"/>
    </row>
    <row r="41" spans="2:8" ht="17.25" thickBot="1">
      <c r="B41" s="9"/>
      <c r="C41" s="42"/>
      <c r="D41" s="39"/>
      <c r="E41" s="43"/>
      <c r="F41" s="24"/>
      <c r="G41" s="44"/>
      <c r="H41" s="10"/>
    </row>
    <row r="42" spans="2:8" ht="16.5" thickBot="1">
      <c r="B42" s="9"/>
      <c r="C42" s="599" t="s">
        <v>63</v>
      </c>
      <c r="D42" s="600"/>
      <c r="E42" s="601"/>
      <c r="F42" s="77">
        <f>F21+F23+F26+F35</f>
        <v>16725324.75</v>
      </c>
      <c r="G42" s="78">
        <f>G21+G23+G26+G35</f>
        <v>19881389.699999999</v>
      </c>
      <c r="H42" s="10"/>
    </row>
    <row r="43" spans="2:8" ht="16.5" thickBot="1">
      <c r="B43" s="9"/>
      <c r="F43" s="45"/>
      <c r="G43" s="46"/>
      <c r="H43" s="10"/>
    </row>
    <row r="44" spans="2:8" ht="15.75">
      <c r="B44" s="9"/>
      <c r="C44" s="47" t="s">
        <v>64</v>
      </c>
      <c r="D44" s="48"/>
      <c r="E44" s="49">
        <f>SUM(E45:E47)</f>
        <v>0.125</v>
      </c>
      <c r="F44" s="50">
        <f>SUM(F45,F46)</f>
        <v>2090665.59375</v>
      </c>
      <c r="G44" s="51">
        <f>SUM(G45,G46)</f>
        <v>2508798.7124999999</v>
      </c>
      <c r="H44" s="10"/>
    </row>
    <row r="45" spans="2:8" ht="16.5">
      <c r="B45" s="9"/>
      <c r="C45" s="30" t="s">
        <v>65</v>
      </c>
      <c r="D45" s="39"/>
      <c r="E45" s="52">
        <v>0.05</v>
      </c>
      <c r="F45" s="41">
        <f>F42*E45</f>
        <v>836266.23750000005</v>
      </c>
      <c r="G45" s="25">
        <f>F45*1.2</f>
        <v>1003519.485</v>
      </c>
      <c r="H45" s="10"/>
    </row>
    <row r="46" spans="2:8" ht="17.25" thickBot="1">
      <c r="B46" s="9"/>
      <c r="C46" s="53" t="s">
        <v>66</v>
      </c>
      <c r="D46" s="54"/>
      <c r="E46" s="55">
        <v>7.4999999999999997E-2</v>
      </c>
      <c r="F46" s="56">
        <f>F42*E46</f>
        <v>1254399.35625</v>
      </c>
      <c r="G46" s="57">
        <f>F46*1.2</f>
        <v>1505279.2274999998</v>
      </c>
      <c r="H46" s="10"/>
    </row>
    <row r="47" spans="2:8" ht="16.5" thickBot="1">
      <c r="B47" s="9"/>
      <c r="C47" s="54"/>
      <c r="D47" s="54"/>
      <c r="E47" s="58"/>
      <c r="F47" s="59"/>
      <c r="G47" s="60"/>
      <c r="H47" s="10"/>
    </row>
    <row r="48" spans="2:8" ht="18.75" thickBot="1">
      <c r="B48" s="9"/>
      <c r="C48" s="602" t="s">
        <v>67</v>
      </c>
      <c r="D48" s="603"/>
      <c r="E48" s="604"/>
      <c r="F48" s="109">
        <f>F42+F44</f>
        <v>18815990.34375</v>
      </c>
      <c r="G48" s="109">
        <f>G42+G44</f>
        <v>22390188.412499998</v>
      </c>
      <c r="H48" s="10"/>
    </row>
    <row r="49" spans="2:8" ht="15.75" thickBot="1">
      <c r="B49" s="62"/>
      <c r="C49" s="63"/>
      <c r="D49" s="63"/>
      <c r="E49" s="63"/>
      <c r="F49" s="63"/>
      <c r="G49" s="63"/>
      <c r="H49" s="64"/>
    </row>
  </sheetData>
  <mergeCells count="4">
    <mergeCell ref="C3:F3"/>
    <mergeCell ref="C21:E21"/>
    <mergeCell ref="C42:E42"/>
    <mergeCell ref="C48:E48"/>
  </mergeCells>
  <pageMargins left="0.7" right="0.7" top="0.75" bottom="0.75" header="0.3" footer="0.3"/>
  <pageSetup paperSize="9" scale="49" orientation="portrait" r:id="rId1"/>
  <ignoredErrors>
    <ignoredError sqref="G39 F15" formula="1"/>
    <ignoredError sqref="D24" formulaRange="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view="pageBreakPreview" topLeftCell="A3" zoomScale="116" zoomScaleNormal="100" workbookViewId="0">
      <selection activeCell="R50" sqref="R50"/>
    </sheetView>
  </sheetViews>
  <sheetFormatPr baseColWidth="10" defaultRowHeight="15"/>
  <cols>
    <col min="1" max="1" width="10.85546875" style="5"/>
    <col min="2" max="2" width="2.42578125" style="5" customWidth="1"/>
    <col min="3" max="3" width="60" customWidth="1"/>
    <col min="4" max="4" width="23.7109375" customWidth="1"/>
    <col min="5" max="5" width="13.7109375" customWidth="1"/>
    <col min="6" max="6" width="22.85546875" customWidth="1"/>
    <col min="7" max="7" width="21.42578125" customWidth="1"/>
    <col min="8" max="8" width="2.42578125" customWidth="1"/>
    <col min="9" max="9" width="10.85546875" style="5"/>
    <col min="10" max="10" width="0" style="5" hidden="1" customWidth="1"/>
    <col min="11" max="11" width="79.42578125" hidden="1" customWidth="1"/>
    <col min="12" max="12" width="19.28515625" hidden="1" customWidth="1"/>
    <col min="13" max="14" width="0" style="5" hidden="1" customWidth="1"/>
  </cols>
  <sheetData>
    <row r="1" spans="1:12" ht="15.75" thickBot="1"/>
    <row r="2" spans="1:12">
      <c r="B2" s="97"/>
      <c r="C2" s="98"/>
      <c r="D2" s="98"/>
      <c r="E2" s="98"/>
      <c r="F2" s="98"/>
      <c r="G2" s="98"/>
      <c r="H2" s="99"/>
      <c r="K2" s="5"/>
      <c r="L2" s="5"/>
    </row>
    <row r="3" spans="1:12" ht="25.5">
      <c r="B3" s="100"/>
      <c r="C3" s="605" t="s">
        <v>68</v>
      </c>
      <c r="D3" s="605"/>
      <c r="E3" s="605"/>
      <c r="F3" s="605"/>
      <c r="G3" s="5"/>
      <c r="H3" s="101"/>
      <c r="K3" s="5"/>
      <c r="L3" s="5"/>
    </row>
    <row r="4" spans="1:12" ht="15.75">
      <c r="B4" s="100"/>
      <c r="C4" s="11"/>
      <c r="D4" s="12"/>
      <c r="E4" s="5"/>
      <c r="F4" s="5"/>
      <c r="G4" s="5"/>
      <c r="H4" s="101"/>
      <c r="K4" s="5"/>
      <c r="L4" s="5"/>
    </row>
    <row r="5" spans="1:12" ht="23.25">
      <c r="A5" s="155"/>
      <c r="B5" s="135"/>
      <c r="C5" s="14"/>
      <c r="D5" s="15"/>
      <c r="E5" s="16"/>
      <c r="F5" s="16"/>
      <c r="G5" s="17"/>
      <c r="H5" s="137"/>
      <c r="I5" s="155"/>
      <c r="K5" s="5"/>
      <c r="L5" s="5"/>
    </row>
    <row r="6" spans="1:12" ht="45">
      <c r="B6" s="100"/>
      <c r="C6" s="19" t="s">
        <v>40</v>
      </c>
      <c r="D6" s="20" t="s">
        <v>41</v>
      </c>
      <c r="E6" s="112" t="s">
        <v>42</v>
      </c>
      <c r="F6" s="20" t="s">
        <v>43</v>
      </c>
      <c r="G6" s="20" t="s">
        <v>44</v>
      </c>
      <c r="H6" s="101"/>
      <c r="K6" s="139" t="s">
        <v>89</v>
      </c>
      <c r="L6" s="20" t="s">
        <v>41</v>
      </c>
    </row>
    <row r="7" spans="1:12" ht="16.5" thickBot="1">
      <c r="B7" s="100"/>
      <c r="C7" s="21"/>
      <c r="D7" s="22"/>
      <c r="E7" s="23"/>
      <c r="F7" s="24"/>
      <c r="G7" s="25"/>
      <c r="H7" s="101"/>
      <c r="K7" s="146"/>
      <c r="L7" s="147"/>
    </row>
    <row r="8" spans="1:12" ht="16.5" thickBot="1">
      <c r="B8" s="100"/>
      <c r="C8" s="79" t="s">
        <v>45</v>
      </c>
      <c r="D8" s="80"/>
      <c r="E8" s="81"/>
      <c r="F8" s="82"/>
      <c r="G8" s="83"/>
      <c r="H8" s="101"/>
      <c r="K8" s="148" t="s">
        <v>45</v>
      </c>
      <c r="L8" s="149"/>
    </row>
    <row r="9" spans="1:12" ht="15.75">
      <c r="B9" s="100"/>
      <c r="C9" s="102" t="s">
        <v>75</v>
      </c>
      <c r="D9" s="111">
        <f>SUM(D10:D14)</f>
        <v>3070</v>
      </c>
      <c r="E9" s="36"/>
      <c r="F9" s="103">
        <f>SUM(F10:F14)</f>
        <v>9451000</v>
      </c>
      <c r="G9" s="104">
        <f>F9*1.2</f>
        <v>11341200</v>
      </c>
      <c r="H9" s="101"/>
      <c r="K9" s="150" t="s">
        <v>75</v>
      </c>
      <c r="L9" s="151">
        <f>SUM(L10:L14)</f>
        <v>3070</v>
      </c>
    </row>
    <row r="10" spans="1:12" ht="16.5">
      <c r="B10" s="100"/>
      <c r="C10" s="26" t="s">
        <v>76</v>
      </c>
      <c r="D10" s="27">
        <v>1050</v>
      </c>
      <c r="E10" s="113">
        <v>3000</v>
      </c>
      <c r="F10" s="28">
        <f t="shared" ref="F10:F13" si="0">D10*E10</f>
        <v>3150000</v>
      </c>
      <c r="G10" s="29">
        <f>F10*1.2</f>
        <v>3780000</v>
      </c>
      <c r="H10" s="101"/>
      <c r="K10" s="143" t="s">
        <v>76</v>
      </c>
      <c r="L10" s="152">
        <v>1050</v>
      </c>
    </row>
    <row r="11" spans="1:12" ht="16.5">
      <c r="B11" s="100"/>
      <c r="C11" s="26" t="s">
        <v>77</v>
      </c>
      <c r="D11" s="27">
        <v>500</v>
      </c>
      <c r="E11" s="113">
        <v>4700</v>
      </c>
      <c r="F11" s="28">
        <f t="shared" si="0"/>
        <v>2350000</v>
      </c>
      <c r="G11" s="29">
        <f t="shared" ref="G11:G13" si="1">F11*1.2</f>
        <v>2820000</v>
      </c>
      <c r="H11" s="101"/>
      <c r="K11" s="143" t="s">
        <v>77</v>
      </c>
      <c r="L11" s="152">
        <v>500</v>
      </c>
    </row>
    <row r="12" spans="1:12" ht="16.5">
      <c r="B12" s="100"/>
      <c r="C12" s="26" t="s">
        <v>78</v>
      </c>
      <c r="D12" s="65">
        <v>800</v>
      </c>
      <c r="E12" s="114">
        <v>2650</v>
      </c>
      <c r="F12" s="28">
        <f t="shared" si="0"/>
        <v>2120000</v>
      </c>
      <c r="G12" s="29">
        <f t="shared" si="1"/>
        <v>2544000</v>
      </c>
      <c r="H12" s="101"/>
      <c r="K12" s="143" t="s">
        <v>78</v>
      </c>
      <c r="L12" s="152">
        <v>800</v>
      </c>
    </row>
    <row r="13" spans="1:12" ht="16.5">
      <c r="B13" s="100"/>
      <c r="C13" s="26" t="s">
        <v>79</v>
      </c>
      <c r="D13" s="65">
        <v>500</v>
      </c>
      <c r="E13" s="114">
        <v>2650</v>
      </c>
      <c r="F13" s="28">
        <f t="shared" si="0"/>
        <v>1325000</v>
      </c>
      <c r="G13" s="29">
        <f t="shared" si="1"/>
        <v>1590000</v>
      </c>
      <c r="H13" s="101"/>
      <c r="K13" s="143" t="s">
        <v>79</v>
      </c>
      <c r="L13" s="152">
        <v>500</v>
      </c>
    </row>
    <row r="14" spans="1:12" ht="16.5">
      <c r="B14" s="100"/>
      <c r="C14" s="26" t="s">
        <v>80</v>
      </c>
      <c r="D14" s="65">
        <v>220</v>
      </c>
      <c r="E14" s="114">
        <v>2300</v>
      </c>
      <c r="F14" s="28">
        <f t="shared" ref="F14" si="2">D14*E14</f>
        <v>506000</v>
      </c>
      <c r="G14" s="29">
        <f t="shared" ref="G14:G15" si="3">F14*1.2</f>
        <v>607200</v>
      </c>
      <c r="H14" s="101"/>
      <c r="K14" s="143" t="s">
        <v>80</v>
      </c>
      <c r="L14" s="152">
        <v>220</v>
      </c>
    </row>
    <row r="15" spans="1:12" ht="15.75">
      <c r="B15" s="100"/>
      <c r="C15" s="102" t="s">
        <v>81</v>
      </c>
      <c r="D15" s="111">
        <f>SUM(D16)</f>
        <v>900</v>
      </c>
      <c r="E15" s="36"/>
      <c r="F15" s="103">
        <f>SUM(F16)</f>
        <v>1890000</v>
      </c>
      <c r="G15" s="104">
        <f t="shared" si="3"/>
        <v>2268000</v>
      </c>
      <c r="H15" s="101"/>
      <c r="K15" s="150" t="s">
        <v>81</v>
      </c>
      <c r="L15" s="151">
        <f>SUM(L16)</f>
        <v>900</v>
      </c>
    </row>
    <row r="16" spans="1:12" ht="33.75" thickBot="1">
      <c r="B16" s="100"/>
      <c r="C16" s="84" t="s">
        <v>82</v>
      </c>
      <c r="D16" s="85">
        <v>900</v>
      </c>
      <c r="E16" s="115">
        <v>2100</v>
      </c>
      <c r="F16" s="86">
        <f t="shared" ref="F16" si="4">D16*E16</f>
        <v>1890000</v>
      </c>
      <c r="G16" s="87">
        <f>F16*1.1</f>
        <v>2079000.0000000002</v>
      </c>
      <c r="H16" s="101"/>
      <c r="K16" s="144" t="s">
        <v>82</v>
      </c>
      <c r="L16" s="153">
        <v>900</v>
      </c>
    </row>
    <row r="17" spans="2:12" ht="17.25" thickBot="1">
      <c r="B17" s="100"/>
      <c r="C17" s="35"/>
      <c r="D17" s="31"/>
      <c r="E17" s="32"/>
      <c r="F17" s="33"/>
      <c r="G17" s="34"/>
      <c r="H17" s="101"/>
      <c r="K17" s="1"/>
      <c r="L17" s="1"/>
    </row>
    <row r="18" spans="2:12" ht="16.5" thickBot="1">
      <c r="B18" s="100"/>
      <c r="C18" s="105" t="s">
        <v>73</v>
      </c>
      <c r="D18" s="89"/>
      <c r="E18" s="90"/>
      <c r="F18" s="91"/>
      <c r="G18" s="106"/>
      <c r="H18" s="101"/>
      <c r="K18" s="145" t="s">
        <v>90</v>
      </c>
      <c r="L18" s="154">
        <v>13341000</v>
      </c>
    </row>
    <row r="19" spans="2:12" ht="17.25" thickBot="1">
      <c r="B19" s="100"/>
      <c r="C19" s="84" t="s">
        <v>83</v>
      </c>
      <c r="D19" s="107"/>
      <c r="E19" s="108"/>
      <c r="F19" s="86">
        <v>2000000</v>
      </c>
      <c r="G19" s="87">
        <f>F19*1.2</f>
        <v>2400000</v>
      </c>
      <c r="H19" s="101"/>
      <c r="K19" s="145" t="s">
        <v>91</v>
      </c>
      <c r="L19" s="154">
        <v>21494674.349999998</v>
      </c>
    </row>
    <row r="20" spans="2:12" ht="17.25" thickBot="1">
      <c r="B20" s="100"/>
      <c r="C20" s="35"/>
      <c r="D20" s="31"/>
      <c r="E20" s="32"/>
      <c r="F20" s="33"/>
      <c r="G20" s="34"/>
      <c r="H20" s="101"/>
      <c r="K20" s="5"/>
      <c r="L20" s="5"/>
    </row>
    <row r="21" spans="2:12" ht="17.100000000000001" customHeight="1" thickBot="1">
      <c r="B21" s="100"/>
      <c r="C21" s="602" t="s">
        <v>46</v>
      </c>
      <c r="D21" s="603"/>
      <c r="E21" s="604"/>
      <c r="F21" s="109">
        <f>F9+F15+F19</f>
        <v>13341000</v>
      </c>
      <c r="G21" s="109">
        <f>G19+G15+G9</f>
        <v>16009200</v>
      </c>
      <c r="H21" s="101"/>
      <c r="K21" s="5"/>
      <c r="L21" s="5"/>
    </row>
    <row r="22" spans="2:12" ht="16.5" thickBot="1">
      <c r="B22" s="100"/>
      <c r="D22" s="31"/>
      <c r="E22" s="32"/>
      <c r="F22" s="33"/>
      <c r="G22" s="34"/>
      <c r="H22" s="101"/>
      <c r="K22" s="5"/>
      <c r="L22" s="5"/>
    </row>
    <row r="23" spans="2:12" ht="16.5">
      <c r="B23" s="100"/>
      <c r="C23" s="67" t="s">
        <v>47</v>
      </c>
      <c r="D23" s="68"/>
      <c r="E23" s="69"/>
      <c r="F23" s="70">
        <f>F24</f>
        <v>285000</v>
      </c>
      <c r="G23" s="71">
        <f>F23*1.2</f>
        <v>342000</v>
      </c>
      <c r="H23" s="101"/>
      <c r="K23" s="5"/>
      <c r="L23" s="5"/>
    </row>
    <row r="24" spans="2:12" ht="16.5">
      <c r="B24" s="100"/>
      <c r="C24" s="116" t="s">
        <v>48</v>
      </c>
      <c r="D24" s="117">
        <f>SUM(D10+D11+D12+D13)</f>
        <v>2850</v>
      </c>
      <c r="E24" s="118">
        <v>100</v>
      </c>
      <c r="F24" s="119">
        <f>+D24*E24</f>
        <v>285000</v>
      </c>
      <c r="G24" s="120">
        <f>F24*1.2</f>
        <v>342000</v>
      </c>
      <c r="H24" s="101"/>
      <c r="K24" s="5"/>
      <c r="L24" s="5"/>
    </row>
    <row r="25" spans="2:12" ht="16.5">
      <c r="B25" s="100"/>
      <c r="C25" s="116"/>
      <c r="D25" s="117"/>
      <c r="E25" s="121"/>
      <c r="F25" s="119"/>
      <c r="G25" s="122"/>
      <c r="H25" s="101"/>
      <c r="K25" s="5"/>
      <c r="L25" s="5"/>
    </row>
    <row r="26" spans="2:12" ht="15.75">
      <c r="B26" s="100"/>
      <c r="C26" s="73" t="s">
        <v>49</v>
      </c>
      <c r="D26" s="36"/>
      <c r="E26" s="37">
        <f>SUM(E27:E33)</f>
        <v>0.13400000000000001</v>
      </c>
      <c r="F26" s="38">
        <f>+SUM(F27:F33)</f>
        <v>1825884</v>
      </c>
      <c r="G26" s="74">
        <f>SUM(G27:G33)</f>
        <v>2191060.7999999998</v>
      </c>
      <c r="H26" s="101"/>
    </row>
    <row r="27" spans="2:12" ht="16.5">
      <c r="B27" s="100"/>
      <c r="C27" s="116" t="s">
        <v>50</v>
      </c>
      <c r="D27" s="123"/>
      <c r="E27" s="124">
        <v>0.1</v>
      </c>
      <c r="F27" s="125">
        <f>($F$21+$F$23)*E27</f>
        <v>1362600</v>
      </c>
      <c r="G27" s="126">
        <f>F27*1.2</f>
        <v>1635120</v>
      </c>
      <c r="H27" s="101"/>
    </row>
    <row r="28" spans="2:12" ht="16.5">
      <c r="B28" s="100"/>
      <c r="C28" s="116" t="s">
        <v>51</v>
      </c>
      <c r="D28" s="123"/>
      <c r="E28" s="124">
        <v>4.0000000000000001E-3</v>
      </c>
      <c r="F28" s="125">
        <f t="shared" ref="F28:F33" si="5">($F$21+$F$23)*E28</f>
        <v>54504</v>
      </c>
      <c r="G28" s="126">
        <f t="shared" ref="G28:G33" si="6">F28*1.2</f>
        <v>65404.799999999996</v>
      </c>
      <c r="H28" s="101"/>
      <c r="J28" s="156"/>
    </row>
    <row r="29" spans="2:12" ht="16.5">
      <c r="B29" s="100"/>
      <c r="C29" s="116" t="s">
        <v>52</v>
      </c>
      <c r="D29" s="123"/>
      <c r="E29" s="124">
        <v>1.2999999999999999E-2</v>
      </c>
      <c r="F29" s="125">
        <f t="shared" si="5"/>
        <v>177138</v>
      </c>
      <c r="G29" s="126">
        <f t="shared" si="6"/>
        <v>212565.6</v>
      </c>
      <c r="H29" s="101"/>
    </row>
    <row r="30" spans="2:12" ht="16.5">
      <c r="B30" s="100"/>
      <c r="C30" s="116" t="s">
        <v>53</v>
      </c>
      <c r="D30" s="123"/>
      <c r="E30" s="124">
        <v>5.0000000000000001E-3</v>
      </c>
      <c r="F30" s="125">
        <f t="shared" si="5"/>
        <v>68130</v>
      </c>
      <c r="G30" s="126">
        <f t="shared" si="6"/>
        <v>81756</v>
      </c>
      <c r="H30" s="101"/>
    </row>
    <row r="31" spans="2:12" ht="16.5">
      <c r="B31" s="100"/>
      <c r="C31" s="116" t="s">
        <v>54</v>
      </c>
      <c r="D31" s="123"/>
      <c r="E31" s="124">
        <v>5.0000000000000001E-3</v>
      </c>
      <c r="F31" s="125">
        <f t="shared" si="5"/>
        <v>68130</v>
      </c>
      <c r="G31" s="126">
        <f t="shared" si="6"/>
        <v>81756</v>
      </c>
      <c r="H31" s="101"/>
    </row>
    <row r="32" spans="2:12" ht="16.5">
      <c r="B32" s="100"/>
      <c r="C32" s="116" t="s">
        <v>55</v>
      </c>
      <c r="D32" s="123"/>
      <c r="E32" s="124">
        <f>0.003</f>
        <v>3.0000000000000001E-3</v>
      </c>
      <c r="F32" s="125">
        <f t="shared" si="5"/>
        <v>40878</v>
      </c>
      <c r="G32" s="126">
        <f t="shared" si="6"/>
        <v>49053.599999999999</v>
      </c>
      <c r="H32" s="101"/>
    </row>
    <row r="33" spans="2:8" ht="16.5">
      <c r="B33" s="100"/>
      <c r="C33" s="116" t="s">
        <v>56</v>
      </c>
      <c r="D33" s="123"/>
      <c r="E33" s="124">
        <v>4.0000000000000001E-3</v>
      </c>
      <c r="F33" s="125">
        <f t="shared" si="5"/>
        <v>54504</v>
      </c>
      <c r="G33" s="126">
        <f t="shared" si="6"/>
        <v>65404.799999999996</v>
      </c>
      <c r="H33" s="101"/>
    </row>
    <row r="34" spans="2:8" ht="15.75">
      <c r="B34" s="100"/>
      <c r="C34" s="127"/>
      <c r="D34" s="123"/>
      <c r="E34" s="124"/>
      <c r="F34" s="125"/>
      <c r="G34" s="126"/>
      <c r="H34" s="101"/>
    </row>
    <row r="35" spans="2:8" ht="16.5">
      <c r="B35" s="100"/>
      <c r="C35" s="75" t="s">
        <v>57</v>
      </c>
      <c r="D35" s="36"/>
      <c r="E35" s="37">
        <f>SUM(E36:E40)</f>
        <v>3.4500000000000003E-2</v>
      </c>
      <c r="F35" s="38">
        <f>SUM(F36:F40)</f>
        <v>470097</v>
      </c>
      <c r="G35" s="74">
        <f>F35*1.2</f>
        <v>564116.4</v>
      </c>
      <c r="H35" s="101"/>
    </row>
    <row r="36" spans="2:8" ht="16.5">
      <c r="B36" s="100"/>
      <c r="C36" s="116" t="s">
        <v>58</v>
      </c>
      <c r="D36" s="123"/>
      <c r="E36" s="124">
        <v>1E-3</v>
      </c>
      <c r="F36" s="125">
        <f>E36*($F$21+$F$23)</f>
        <v>13626</v>
      </c>
      <c r="G36" s="126">
        <f t="shared" ref="G36:G40" si="7">F36*1.2</f>
        <v>16351.199999999999</v>
      </c>
      <c r="H36" s="101"/>
    </row>
    <row r="37" spans="2:8" ht="16.5">
      <c r="B37" s="100"/>
      <c r="C37" s="116" t="s">
        <v>59</v>
      </c>
      <c r="D37" s="123"/>
      <c r="E37" s="124">
        <v>1E-3</v>
      </c>
      <c r="F37" s="125">
        <f t="shared" ref="F37:F40" si="8">E37*($F$21+$F$23)</f>
        <v>13626</v>
      </c>
      <c r="G37" s="126">
        <f t="shared" si="7"/>
        <v>16351.199999999999</v>
      </c>
      <c r="H37" s="101"/>
    </row>
    <row r="38" spans="2:8" ht="16.5">
      <c r="B38" s="100"/>
      <c r="C38" s="116" t="s">
        <v>74</v>
      </c>
      <c r="D38" s="123"/>
      <c r="E38" s="124">
        <v>0.02</v>
      </c>
      <c r="F38" s="125">
        <f t="shared" si="8"/>
        <v>272520</v>
      </c>
      <c r="G38" s="126">
        <f t="shared" si="7"/>
        <v>327024</v>
      </c>
      <c r="H38" s="101"/>
    </row>
    <row r="39" spans="2:8" ht="16.5">
      <c r="B39" s="100"/>
      <c r="C39" s="116" t="s">
        <v>61</v>
      </c>
      <c r="D39" s="123"/>
      <c r="E39" s="124">
        <v>0.01</v>
      </c>
      <c r="F39" s="125">
        <f t="shared" si="8"/>
        <v>136260</v>
      </c>
      <c r="G39" s="126">
        <f>F39</f>
        <v>136260</v>
      </c>
      <c r="H39" s="101"/>
    </row>
    <row r="40" spans="2:8" ht="17.25" thickBot="1">
      <c r="B40" s="100"/>
      <c r="C40" s="128" t="s">
        <v>62</v>
      </c>
      <c r="D40" s="129"/>
      <c r="E40" s="130">
        <v>2.5000000000000001E-3</v>
      </c>
      <c r="F40" s="131">
        <f t="shared" si="8"/>
        <v>34065</v>
      </c>
      <c r="G40" s="132">
        <f t="shared" si="7"/>
        <v>40878</v>
      </c>
      <c r="H40" s="101"/>
    </row>
    <row r="41" spans="2:8" ht="17.25" thickBot="1">
      <c r="B41" s="100"/>
      <c r="C41" s="42"/>
      <c r="D41" s="39"/>
      <c r="E41" s="43"/>
      <c r="F41" s="24"/>
      <c r="G41" s="44"/>
      <c r="H41" s="101"/>
    </row>
    <row r="42" spans="2:8" ht="17.100000000000001" customHeight="1" thickBot="1">
      <c r="B42" s="100"/>
      <c r="C42" s="599" t="s">
        <v>63</v>
      </c>
      <c r="D42" s="600"/>
      <c r="E42" s="601"/>
      <c r="F42" s="77">
        <f>F21+F23+F26+F35</f>
        <v>15921981</v>
      </c>
      <c r="G42" s="78">
        <f>G21+G23+G26+G35</f>
        <v>19106377.199999999</v>
      </c>
      <c r="H42" s="101"/>
    </row>
    <row r="43" spans="2:8" ht="16.5" thickBot="1">
      <c r="B43" s="100"/>
      <c r="F43" s="45"/>
      <c r="G43" s="46"/>
      <c r="H43" s="101"/>
    </row>
    <row r="44" spans="2:8" ht="15.75">
      <c r="B44" s="100"/>
      <c r="C44" s="47" t="s">
        <v>64</v>
      </c>
      <c r="D44" s="48"/>
      <c r="E44" s="49">
        <f>SUM(E45:E47)</f>
        <v>0.125</v>
      </c>
      <c r="F44" s="50">
        <f>SUM(F45,F46)</f>
        <v>1990247.625</v>
      </c>
      <c r="G44" s="51">
        <f>SUM(G45,G46)</f>
        <v>2388297.15</v>
      </c>
      <c r="H44" s="101"/>
    </row>
    <row r="45" spans="2:8" ht="16.5">
      <c r="B45" s="100"/>
      <c r="C45" s="116" t="s">
        <v>65</v>
      </c>
      <c r="D45" s="123"/>
      <c r="E45" s="133">
        <v>0.05</v>
      </c>
      <c r="F45" s="125">
        <f>F42*E45</f>
        <v>796099.05</v>
      </c>
      <c r="G45" s="126">
        <f>F45*1.2</f>
        <v>955318.86</v>
      </c>
      <c r="H45" s="101"/>
    </row>
    <row r="46" spans="2:8" ht="17.25" thickBot="1">
      <c r="B46" s="100"/>
      <c r="C46" s="128" t="s">
        <v>66</v>
      </c>
      <c r="D46" s="129"/>
      <c r="E46" s="134">
        <v>7.4999999999999997E-2</v>
      </c>
      <c r="F46" s="131">
        <f>F42*E46</f>
        <v>1194148.575</v>
      </c>
      <c r="G46" s="132">
        <f>F46*1.2</f>
        <v>1432978.2899999998</v>
      </c>
      <c r="H46" s="101"/>
    </row>
    <row r="47" spans="2:8" ht="16.5" thickBot="1">
      <c r="B47" s="100"/>
      <c r="C47" s="54"/>
      <c r="D47" s="54"/>
      <c r="E47" s="58"/>
      <c r="F47" s="59"/>
      <c r="G47" s="60"/>
      <c r="H47" s="101"/>
    </row>
    <row r="48" spans="2:8" ht="18.75" thickBot="1">
      <c r="B48" s="100"/>
      <c r="C48" s="602" t="s">
        <v>67</v>
      </c>
      <c r="D48" s="603"/>
      <c r="E48" s="604"/>
      <c r="F48" s="109">
        <f>F42+F44</f>
        <v>17912228.625</v>
      </c>
      <c r="G48" s="109">
        <f>G42+G44</f>
        <v>21494674.349999998</v>
      </c>
      <c r="H48" s="101"/>
    </row>
    <row r="49" spans="2:8" ht="15.75" thickBot="1">
      <c r="B49" s="136"/>
      <c r="C49" s="63"/>
      <c r="D49" s="63"/>
      <c r="E49" s="63"/>
      <c r="F49" s="63"/>
      <c r="G49" s="63"/>
      <c r="H49" s="138"/>
    </row>
  </sheetData>
  <mergeCells count="4">
    <mergeCell ref="C3:F3"/>
    <mergeCell ref="C21:E21"/>
    <mergeCell ref="C42:E42"/>
    <mergeCell ref="C48:E48"/>
  </mergeCells>
  <pageMargins left="0.7" right="0.7" top="0.75" bottom="0.75" header="0.3" footer="0.3"/>
  <pageSetup paperSize="9"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C6" sqref="C6"/>
    </sheetView>
  </sheetViews>
  <sheetFormatPr baseColWidth="10" defaultRowHeight="15"/>
  <sheetData>
    <row r="1" spans="1:4">
      <c r="A1" t="s">
        <v>267</v>
      </c>
      <c r="C1">
        <v>400</v>
      </c>
      <c r="D1">
        <v>370</v>
      </c>
    </row>
    <row r="2" spans="1:4">
      <c r="A2" t="s">
        <v>268</v>
      </c>
    </row>
    <row r="3" spans="1:4">
      <c r="A3" t="s">
        <v>269</v>
      </c>
      <c r="C3">
        <v>2500</v>
      </c>
    </row>
    <row r="4" spans="1:4">
      <c r="A4" t="s">
        <v>271</v>
      </c>
    </row>
    <row r="5" spans="1:4">
      <c r="A5" t="s">
        <v>272</v>
      </c>
      <c r="C5">
        <v>2900</v>
      </c>
    </row>
    <row r="6" spans="1:4">
      <c r="A6" t="s">
        <v>273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57"/>
  <sheetViews>
    <sheetView showGridLines="0" topLeftCell="B29" zoomScale="110" zoomScaleNormal="110" zoomScaleSheetLayoutView="90" workbookViewId="0">
      <selection activeCell="H48" sqref="C2:H48"/>
    </sheetView>
  </sheetViews>
  <sheetFormatPr baseColWidth="10" defaultRowHeight="15" outlineLevelRow="1"/>
  <cols>
    <col min="1" max="1" width="0" hidden="1" customWidth="1"/>
    <col min="2" max="2" width="2.42578125" customWidth="1"/>
    <col min="3" max="3" width="8.85546875" customWidth="1"/>
    <col min="4" max="4" width="64.7109375" customWidth="1"/>
    <col min="5" max="5" width="23.7109375" customWidth="1"/>
    <col min="6" max="6" width="13.7109375" style="245" customWidth="1"/>
    <col min="7" max="7" width="25.140625" bestFit="1" customWidth="1"/>
    <col min="8" max="8" width="21.42578125" customWidth="1"/>
    <col min="9" max="9" width="2.42578125" customWidth="1"/>
    <col min="10" max="10" width="12.140625" bestFit="1" customWidth="1"/>
    <col min="11" max="11" width="25.42578125" hidden="1" customWidth="1"/>
    <col min="12" max="12" width="9" hidden="1" customWidth="1"/>
    <col min="13" max="13" width="10.28515625" style="245" hidden="1" customWidth="1"/>
    <col min="14" max="14" width="10" hidden="1" customWidth="1"/>
    <col min="15" max="15" width="11.28515625" hidden="1" customWidth="1"/>
    <col min="16" max="16" width="25.140625" hidden="1" customWidth="1"/>
    <col min="17" max="17" width="17.28515625" hidden="1" customWidth="1"/>
    <col min="18" max="18" width="64.7109375" customWidth="1"/>
    <col min="19" max="19" width="23.7109375" customWidth="1"/>
    <col min="20" max="20" width="13.7109375" style="245" customWidth="1"/>
    <col min="21" max="21" width="22.85546875" customWidth="1"/>
    <col min="22" max="22" width="21.42578125" customWidth="1"/>
  </cols>
  <sheetData>
    <row r="2" spans="1:21">
      <c r="C2" s="221"/>
      <c r="D2" s="221"/>
      <c r="Q2" s="221"/>
      <c r="R2" s="221"/>
    </row>
    <row r="3" spans="1:21" ht="24">
      <c r="C3" s="508" t="s">
        <v>199</v>
      </c>
      <c r="D3" s="508"/>
      <c r="E3" s="508"/>
      <c r="F3" s="508"/>
      <c r="G3" s="508"/>
      <c r="Q3" s="508"/>
      <c r="R3" s="508"/>
      <c r="S3" s="508"/>
      <c r="T3" s="508"/>
      <c r="U3" s="508"/>
    </row>
    <row r="4" spans="1:21" ht="25.5">
      <c r="C4" s="220"/>
      <c r="D4" s="220"/>
      <c r="E4" s="220"/>
      <c r="F4" s="246"/>
      <c r="G4" s="220"/>
      <c r="Q4" s="220"/>
      <c r="R4" s="220"/>
      <c r="S4" s="220"/>
      <c r="T4" s="246"/>
      <c r="U4" s="220"/>
    </row>
    <row r="5" spans="1:21" ht="23.45" customHeight="1">
      <c r="A5" s="4"/>
      <c r="B5" s="4"/>
      <c r="C5" s="247" t="s">
        <v>262</v>
      </c>
      <c r="D5" s="247" t="s">
        <v>263</v>
      </c>
      <c r="E5" s="247"/>
      <c r="F5" s="247"/>
      <c r="G5" s="247"/>
      <c r="H5" s="247"/>
      <c r="I5" s="4"/>
      <c r="J5" s="4"/>
      <c r="T5"/>
    </row>
    <row r="6" spans="1:21" ht="30">
      <c r="C6" s="509" t="s">
        <v>40</v>
      </c>
      <c r="D6" s="509"/>
      <c r="E6" s="248" t="s">
        <v>41</v>
      </c>
      <c r="F6" s="248" t="s">
        <v>42</v>
      </c>
      <c r="G6" s="249" t="s">
        <v>124</v>
      </c>
      <c r="H6" s="249" t="s">
        <v>125</v>
      </c>
      <c r="T6"/>
    </row>
    <row r="7" spans="1:21" ht="16.5" thickBot="1">
      <c r="C7" s="39"/>
      <c r="D7" s="39"/>
      <c r="E7" s="39"/>
      <c r="F7" s="250"/>
      <c r="G7" s="24"/>
      <c r="H7" s="251"/>
      <c r="M7"/>
      <c r="T7"/>
    </row>
    <row r="8" spans="1:21" ht="15.6" customHeight="1">
      <c r="C8" s="341" t="s">
        <v>126</v>
      </c>
      <c r="D8" s="342" t="s">
        <v>223</v>
      </c>
      <c r="E8" s="343">
        <f>E9</f>
        <v>4648.2</v>
      </c>
      <c r="F8" s="344"/>
      <c r="G8" s="345">
        <f>G9</f>
        <v>9423400</v>
      </c>
      <c r="H8" s="346">
        <f>G8*1.2</f>
        <v>11308080</v>
      </c>
      <c r="M8"/>
      <c r="T8"/>
    </row>
    <row r="9" spans="1:21" ht="15.6" customHeight="1">
      <c r="C9" s="347" t="s">
        <v>130</v>
      </c>
      <c r="D9" s="373" t="s">
        <v>226</v>
      </c>
      <c r="E9" s="374">
        <f>SUM(E10:E13)</f>
        <v>4648.2</v>
      </c>
      <c r="F9" s="381"/>
      <c r="G9" s="376">
        <f>SUM(G10:G13)</f>
        <v>9423400</v>
      </c>
      <c r="H9" s="348">
        <f>SUM(H10:H13)</f>
        <v>11308080</v>
      </c>
      <c r="M9"/>
      <c r="T9"/>
    </row>
    <row r="10" spans="1:21" ht="15.6" customHeight="1" outlineLevel="1">
      <c r="C10" s="349" t="s">
        <v>132</v>
      </c>
      <c r="D10" s="380" t="s">
        <v>258</v>
      </c>
      <c r="E10" s="377">
        <f>4260-490</f>
        <v>3770</v>
      </c>
      <c r="F10" s="379">
        <v>2100</v>
      </c>
      <c r="G10" s="378">
        <f t="shared" ref="G10:G12" si="0">E10*F10</f>
        <v>7917000</v>
      </c>
      <c r="H10" s="350">
        <f t="shared" ref="H10:H12" si="1">G10*1.2</f>
        <v>9500400</v>
      </c>
      <c r="J10" s="388"/>
      <c r="M10"/>
      <c r="T10"/>
    </row>
    <row r="11" spans="1:21" ht="15.6" customHeight="1" outlineLevel="1">
      <c r="C11" s="349" t="s">
        <v>133</v>
      </c>
      <c r="D11" s="380" t="s">
        <v>259</v>
      </c>
      <c r="E11" s="377">
        <v>490</v>
      </c>
      <c r="F11" s="379">
        <v>1600</v>
      </c>
      <c r="G11" s="378">
        <f t="shared" si="0"/>
        <v>784000</v>
      </c>
      <c r="H11" s="350">
        <f t="shared" si="1"/>
        <v>940800</v>
      </c>
      <c r="M11"/>
      <c r="T11"/>
    </row>
    <row r="12" spans="1:21" ht="15.6" customHeight="1" outlineLevel="1">
      <c r="C12" s="349" t="s">
        <v>134</v>
      </c>
      <c r="D12" s="380" t="s">
        <v>260</v>
      </c>
      <c r="E12" s="377">
        <f>(E10+E11)*0.07</f>
        <v>298.20000000000005</v>
      </c>
      <c r="F12" s="379">
        <v>2000</v>
      </c>
      <c r="G12" s="378">
        <f t="shared" si="0"/>
        <v>596400.00000000012</v>
      </c>
      <c r="H12" s="350">
        <f t="shared" si="1"/>
        <v>715680.00000000012</v>
      </c>
      <c r="M12"/>
      <c r="T12"/>
    </row>
    <row r="13" spans="1:21" ht="15.6" customHeight="1" outlineLevel="1" thickBot="1">
      <c r="C13" s="382" t="s">
        <v>135</v>
      </c>
      <c r="D13" s="383" t="s">
        <v>104</v>
      </c>
      <c r="E13" s="384">
        <v>90</v>
      </c>
      <c r="F13" s="385">
        <v>1400</v>
      </c>
      <c r="G13" s="386">
        <f>E13*F13</f>
        <v>126000</v>
      </c>
      <c r="H13" s="387">
        <f>G13*1.2</f>
        <v>151200</v>
      </c>
      <c r="M13"/>
      <c r="T13"/>
    </row>
    <row r="14" spans="1:21" ht="17.100000000000001" customHeight="1" thickBot="1">
      <c r="C14" s="266"/>
      <c r="D14" s="261"/>
      <c r="E14" s="262"/>
      <c r="F14" s="263"/>
      <c r="G14" s="264"/>
      <c r="H14" s="267"/>
      <c r="M14"/>
      <c r="T14"/>
    </row>
    <row r="15" spans="1:21" ht="16.5">
      <c r="C15" s="268" t="s">
        <v>139</v>
      </c>
      <c r="D15" s="269" t="s">
        <v>180</v>
      </c>
      <c r="E15" s="270"/>
      <c r="F15" s="271"/>
      <c r="G15" s="272" t="e">
        <f>SUM(G16:G17)</f>
        <v>#REF!</v>
      </c>
      <c r="H15" s="273" t="e">
        <f>SUM(H16:H17)</f>
        <v>#REF!</v>
      </c>
      <c r="T15"/>
    </row>
    <row r="16" spans="1:21" ht="16.5" outlineLevel="1">
      <c r="C16" s="260" t="s">
        <v>181</v>
      </c>
      <c r="D16" s="240" t="s">
        <v>208</v>
      </c>
      <c r="E16" s="356">
        <f>E8</f>
        <v>4648.2</v>
      </c>
      <c r="F16" s="357">
        <v>175</v>
      </c>
      <c r="G16" s="24">
        <f>F16*E16</f>
        <v>813435</v>
      </c>
      <c r="H16" s="274">
        <f>G16*1.2</f>
        <v>976122</v>
      </c>
      <c r="K16" s="328"/>
      <c r="L16" s="329"/>
      <c r="M16" s="328"/>
    </row>
    <row r="17" spans="1:21" ht="17.25" outlineLevel="1" thickBot="1">
      <c r="C17" s="260" t="s">
        <v>182</v>
      </c>
      <c r="D17" s="240" t="s">
        <v>270</v>
      </c>
      <c r="E17" s="356" t="e">
        <f>IF(#REF!=DATA!A3,DATA!C3,0)</f>
        <v>#REF!</v>
      </c>
      <c r="F17" s="357">
        <v>180</v>
      </c>
      <c r="G17" s="391" t="e">
        <f>E17*F17</f>
        <v>#REF!</v>
      </c>
      <c r="H17" s="274" t="e">
        <f>G17*1.2</f>
        <v>#REF!</v>
      </c>
      <c r="K17" s="328"/>
      <c r="L17" s="329"/>
      <c r="M17" s="328"/>
    </row>
    <row r="18" spans="1:21" ht="16.5" thickBot="1">
      <c r="C18" s="275"/>
      <c r="D18" s="276"/>
      <c r="E18" s="277"/>
      <c r="F18" s="278"/>
      <c r="G18" s="279"/>
      <c r="H18" s="280"/>
      <c r="P18" t="s">
        <v>281</v>
      </c>
      <c r="Q18" t="s">
        <v>282</v>
      </c>
    </row>
    <row r="19" spans="1:21" s="245" customFormat="1" ht="18.75" thickBot="1">
      <c r="A19"/>
      <c r="B19"/>
      <c r="C19" s="503" t="s">
        <v>214</v>
      </c>
      <c r="D19" s="504"/>
      <c r="E19" s="504"/>
      <c r="F19" s="504"/>
      <c r="G19" s="163" t="e">
        <f>+G15+G8</f>
        <v>#REF!</v>
      </c>
      <c r="H19" s="163" t="e">
        <f>+H8+H15</f>
        <v>#REF!</v>
      </c>
      <c r="I19"/>
      <c r="J19"/>
      <c r="K19"/>
      <c r="L19"/>
      <c r="N19"/>
      <c r="O19">
        <v>2025</v>
      </c>
      <c r="P19" s="61" t="e">
        <f>K34+((M22+M23)*K28)+G35</f>
        <v>#REF!</v>
      </c>
      <c r="Q19">
        <v>0</v>
      </c>
      <c r="R19"/>
      <c r="S19"/>
      <c r="U19"/>
    </row>
    <row r="20" spans="1:21" s="245" customFormat="1" ht="16.5" thickBot="1">
      <c r="A20"/>
      <c r="B20"/>
      <c r="C20"/>
      <c r="D20"/>
      <c r="E20" s="281"/>
      <c r="F20" s="282"/>
      <c r="G20" s="235"/>
      <c r="H20" s="235"/>
      <c r="I20"/>
      <c r="J20"/>
      <c r="K20"/>
      <c r="L20"/>
      <c r="N20"/>
      <c r="O20">
        <v>2026</v>
      </c>
      <c r="P20" s="61" t="e">
        <f>(M24+M25+M26+(2/25*M27))*K28</f>
        <v>#REF!</v>
      </c>
      <c r="Q20" s="61" t="e">
        <f>K41*(2/25)</f>
        <v>#REF!</v>
      </c>
      <c r="R20"/>
      <c r="S20"/>
      <c r="U20"/>
    </row>
    <row r="21" spans="1:21" s="245" customFormat="1" ht="15.75">
      <c r="A21"/>
      <c r="B21"/>
      <c r="C21" s="283" t="s">
        <v>144</v>
      </c>
      <c r="D21" s="284" t="s">
        <v>185</v>
      </c>
      <c r="E21" s="285"/>
      <c r="F21" s="286" t="e">
        <f>SUM(F22:F28)</f>
        <v>#REF!</v>
      </c>
      <c r="G21" s="287" t="e">
        <f>+SUM(G22:G28)</f>
        <v>#REF!</v>
      </c>
      <c r="H21" s="288" t="e">
        <f>SUM(H22:H28)</f>
        <v>#REF!</v>
      </c>
      <c r="I21"/>
      <c r="J21"/>
      <c r="K21"/>
      <c r="L21"/>
      <c r="N21"/>
      <c r="O21">
        <v>2027</v>
      </c>
      <c r="P21" s="61" t="e">
        <f>(12/25*M27)*K28</f>
        <v>#REF!</v>
      </c>
      <c r="Q21" s="61" t="e">
        <f>K41*(12/25)</f>
        <v>#REF!</v>
      </c>
      <c r="R21"/>
      <c r="S21"/>
      <c r="U21"/>
    </row>
    <row r="22" spans="1:21" s="245" customFormat="1" ht="16.5">
      <c r="A22"/>
      <c r="B22"/>
      <c r="C22" s="260" t="s">
        <v>181</v>
      </c>
      <c r="D22" s="240" t="s">
        <v>112</v>
      </c>
      <c r="E22" s="39"/>
      <c r="F22" s="289">
        <v>0.13</v>
      </c>
      <c r="G22" s="24" t="e">
        <f>$G$19*F22</f>
        <v>#REF!</v>
      </c>
      <c r="H22" s="274" t="e">
        <f t="shared" ref="H22:H28" si="2">G22*1.2</f>
        <v>#REF!</v>
      </c>
      <c r="I22"/>
      <c r="J22"/>
      <c r="K22"/>
      <c r="L22" t="s">
        <v>276</v>
      </c>
      <c r="M22" s="245">
        <v>0.05</v>
      </c>
      <c r="N22"/>
      <c r="O22">
        <v>2028</v>
      </c>
      <c r="P22" s="61" t="e">
        <f>(11/25*M27)*K28</f>
        <v>#REF!</v>
      </c>
      <c r="Q22" s="61" t="e">
        <f>K41*(11/25)</f>
        <v>#REF!</v>
      </c>
      <c r="R22"/>
      <c r="S22"/>
      <c r="U22"/>
    </row>
    <row r="23" spans="1:21" s="245" customFormat="1" ht="16.5">
      <c r="A23"/>
      <c r="B23"/>
      <c r="C23" s="290" t="s">
        <v>182</v>
      </c>
      <c r="D23" s="291" t="s">
        <v>186</v>
      </c>
      <c r="E23" s="39"/>
      <c r="F23" s="292" t="e">
        <f>+G23/G19</f>
        <v>#REF!</v>
      </c>
      <c r="G23" s="24" t="e">
        <f>G22*0.05*0.8</f>
        <v>#REF!</v>
      </c>
      <c r="H23" s="274" t="e">
        <f t="shared" si="2"/>
        <v>#REF!</v>
      </c>
      <c r="I23"/>
      <c r="J23"/>
      <c r="K23" s="330"/>
      <c r="L23" s="331" t="s">
        <v>275</v>
      </c>
      <c r="M23" s="245">
        <v>0.1</v>
      </c>
      <c r="N23"/>
      <c r="O23"/>
      <c r="P23"/>
      <c r="Q23"/>
      <c r="R23"/>
      <c r="S23"/>
      <c r="U23"/>
    </row>
    <row r="24" spans="1:21" s="245" customFormat="1" ht="16.5">
      <c r="A24"/>
      <c r="B24"/>
      <c r="C24" s="260" t="s">
        <v>183</v>
      </c>
      <c r="D24" s="240" t="s">
        <v>114</v>
      </c>
      <c r="E24" s="39"/>
      <c r="F24" s="289">
        <v>0.02</v>
      </c>
      <c r="G24" s="24" t="e">
        <f>$G$19*F24</f>
        <v>#REF!</v>
      </c>
      <c r="H24" s="274" t="e">
        <f t="shared" si="2"/>
        <v>#REF!</v>
      </c>
      <c r="I24"/>
      <c r="J24"/>
      <c r="K24"/>
      <c r="L24" t="s">
        <v>280</v>
      </c>
      <c r="M24" s="245">
        <v>0.15</v>
      </c>
      <c r="N24"/>
      <c r="O24"/>
      <c r="P24"/>
      <c r="Q24"/>
      <c r="R24"/>
      <c r="S24"/>
      <c r="U24"/>
    </row>
    <row r="25" spans="1:21" s="245" customFormat="1" ht="16.5">
      <c r="A25"/>
      <c r="B25"/>
      <c r="C25" s="260" t="s">
        <v>187</v>
      </c>
      <c r="D25" s="240" t="s">
        <v>188</v>
      </c>
      <c r="E25" s="39"/>
      <c r="F25" s="289">
        <v>5.0000000000000001E-3</v>
      </c>
      <c r="G25" s="24" t="e">
        <f>$G$19*F25</f>
        <v>#REF!</v>
      </c>
      <c r="H25" s="274" t="e">
        <f t="shared" si="2"/>
        <v>#REF!</v>
      </c>
      <c r="I25"/>
      <c r="J25"/>
      <c r="K25"/>
      <c r="L25" t="s">
        <v>277</v>
      </c>
      <c r="M25" s="245">
        <v>0.15</v>
      </c>
      <c r="N25"/>
      <c r="O25"/>
      <c r="P25"/>
      <c r="Q25"/>
      <c r="R25"/>
      <c r="S25"/>
      <c r="U25"/>
    </row>
    <row r="26" spans="1:21" s="245" customFormat="1" ht="16.5">
      <c r="A26"/>
      <c r="B26"/>
      <c r="C26" s="260" t="s">
        <v>189</v>
      </c>
      <c r="D26" s="240" t="s">
        <v>115</v>
      </c>
      <c r="E26" s="39"/>
      <c r="F26" s="289">
        <v>1.4999999999999999E-2</v>
      </c>
      <c r="G26" s="24" t="e">
        <f>$G$19*F26</f>
        <v>#REF!</v>
      </c>
      <c r="H26" s="274" t="e">
        <f t="shared" si="2"/>
        <v>#REF!</v>
      </c>
      <c r="I26"/>
      <c r="J26"/>
      <c r="K26"/>
      <c r="L26" t="s">
        <v>278</v>
      </c>
      <c r="M26" s="245">
        <v>0.05</v>
      </c>
      <c r="N26"/>
      <c r="O26"/>
      <c r="P26"/>
      <c r="Q26"/>
      <c r="R26"/>
      <c r="S26"/>
      <c r="U26"/>
    </row>
    <row r="27" spans="1:21" s="245" customFormat="1" ht="16.5">
      <c r="A27"/>
      <c r="B27"/>
      <c r="C27" s="260" t="s">
        <v>190</v>
      </c>
      <c r="D27" s="240" t="s">
        <v>116</v>
      </c>
      <c r="E27" s="39"/>
      <c r="F27" s="289">
        <v>5.0000000000000001E-3</v>
      </c>
      <c r="G27" s="24" t="e">
        <f>$G$19*F27</f>
        <v>#REF!</v>
      </c>
      <c r="H27" s="274" t="e">
        <f t="shared" si="2"/>
        <v>#REF!</v>
      </c>
      <c r="I27"/>
      <c r="J27"/>
      <c r="K27"/>
      <c r="L27" t="s">
        <v>279</v>
      </c>
      <c r="M27" s="245">
        <v>0.5</v>
      </c>
      <c r="N27"/>
      <c r="O27"/>
      <c r="P27"/>
      <c r="Q27"/>
      <c r="R27"/>
      <c r="S27"/>
      <c r="U27"/>
    </row>
    <row r="28" spans="1:21" s="245" customFormat="1" ht="17.25" thickBot="1">
      <c r="A28"/>
      <c r="B28"/>
      <c r="C28" s="265" t="s">
        <v>191</v>
      </c>
      <c r="D28" s="199" t="s">
        <v>117</v>
      </c>
      <c r="E28" s="54"/>
      <c r="F28" s="293">
        <v>5.0000000000000001E-3</v>
      </c>
      <c r="G28" s="59" t="e">
        <f>$G$19*F28</f>
        <v>#REF!</v>
      </c>
      <c r="H28" s="294" t="e">
        <f t="shared" si="2"/>
        <v>#REF!</v>
      </c>
      <c r="I28"/>
      <c r="J28"/>
      <c r="K28" s="61" t="e">
        <f>G21+G30-K34-G35</f>
        <v>#REF!</v>
      </c>
      <c r="L28"/>
      <c r="N28"/>
      <c r="O28"/>
      <c r="P28"/>
      <c r="Q28"/>
      <c r="R28"/>
      <c r="S28"/>
      <c r="U28"/>
    </row>
    <row r="29" spans="1:21" s="245" customFormat="1" ht="15.75">
      <c r="A29"/>
      <c r="B29"/>
      <c r="C29" s="39"/>
      <c r="D29" s="39"/>
      <c r="E29" s="39"/>
      <c r="F29" s="289"/>
      <c r="G29" s="24"/>
      <c r="H29" s="251"/>
      <c r="I29"/>
      <c r="J29"/>
      <c r="K29"/>
      <c r="L29"/>
      <c r="N29"/>
      <c r="O29"/>
      <c r="P29"/>
      <c r="Q29"/>
      <c r="R29"/>
      <c r="S29"/>
      <c r="U29"/>
    </row>
    <row r="30" spans="1:21" s="245" customFormat="1" ht="16.5">
      <c r="A30"/>
      <c r="B30"/>
      <c r="C30" s="359" t="s">
        <v>145</v>
      </c>
      <c r="D30" s="360" t="s">
        <v>192</v>
      </c>
      <c r="E30" s="361"/>
      <c r="F30" s="362"/>
      <c r="G30" s="363" t="e">
        <f>SUM(G31:G36)</f>
        <v>#REF!</v>
      </c>
      <c r="H30" s="364" t="e">
        <f>SUM(H31:H36)</f>
        <v>#REF!</v>
      </c>
      <c r="I30"/>
      <c r="J30" s="301"/>
      <c r="K30"/>
      <c r="L30"/>
      <c r="N30"/>
      <c r="O30"/>
      <c r="P30"/>
      <c r="Q30"/>
      <c r="R30"/>
      <c r="S30"/>
      <c r="U30"/>
    </row>
    <row r="31" spans="1:21" s="245" customFormat="1" ht="16.5">
      <c r="A31"/>
      <c r="B31"/>
      <c r="C31" s="365" t="s">
        <v>146</v>
      </c>
      <c r="D31" s="240" t="s">
        <v>119</v>
      </c>
      <c r="E31" s="39"/>
      <c r="F31" s="289">
        <v>2E-3</v>
      </c>
      <c r="G31" s="24" t="e">
        <f>F31*$G$19</f>
        <v>#REF!</v>
      </c>
      <c r="H31" s="366" t="e">
        <f>G31*1.2</f>
        <v>#REF!</v>
      </c>
      <c r="I31"/>
      <c r="J31"/>
      <c r="K31"/>
      <c r="L31"/>
      <c r="N31"/>
      <c r="O31"/>
      <c r="P31"/>
      <c r="Q31"/>
      <c r="R31"/>
      <c r="S31"/>
      <c r="U31"/>
    </row>
    <row r="32" spans="1:21" s="245" customFormat="1" ht="16.5">
      <c r="A32"/>
      <c r="B32"/>
      <c r="C32" s="365" t="s">
        <v>147</v>
      </c>
      <c r="D32" s="240" t="s">
        <v>120</v>
      </c>
      <c r="E32" s="39"/>
      <c r="F32" s="289">
        <v>4.0000000000000001E-3</v>
      </c>
      <c r="G32" s="24" t="e">
        <f>+F32*G19</f>
        <v>#REF!</v>
      </c>
      <c r="H32" s="366" t="e">
        <f>G32*1.2</f>
        <v>#REF!</v>
      </c>
      <c r="I32"/>
      <c r="J32"/>
      <c r="K32"/>
      <c r="L32"/>
      <c r="N32"/>
      <c r="O32"/>
      <c r="P32"/>
      <c r="Q32"/>
      <c r="R32"/>
      <c r="S32"/>
      <c r="U32"/>
    </row>
    <row r="33" spans="1:21" s="245" customFormat="1" ht="16.5">
      <c r="A33"/>
      <c r="B33"/>
      <c r="C33" s="365" t="s">
        <v>148</v>
      </c>
      <c r="D33" s="240" t="s">
        <v>121</v>
      </c>
      <c r="E33" s="39"/>
      <c r="F33" s="289">
        <v>0.01</v>
      </c>
      <c r="G33" s="24" t="e">
        <f>+F33*G19</f>
        <v>#REF!</v>
      </c>
      <c r="H33" s="366" t="e">
        <f>G33*1.2</f>
        <v>#REF!</v>
      </c>
      <c r="I33"/>
      <c r="J33"/>
      <c r="K33"/>
      <c r="L33"/>
      <c r="N33"/>
      <c r="O33"/>
      <c r="P33"/>
      <c r="Q33"/>
      <c r="R33"/>
      <c r="S33"/>
      <c r="U33"/>
    </row>
    <row r="34" spans="1:21" s="245" customFormat="1" ht="18.95" customHeight="1">
      <c r="A34"/>
      <c r="B34"/>
      <c r="C34" s="365" t="s">
        <v>149</v>
      </c>
      <c r="D34" s="240" t="s">
        <v>207</v>
      </c>
      <c r="E34" s="39"/>
      <c r="F34" s="289">
        <v>0.02</v>
      </c>
      <c r="G34" s="24" t="e">
        <f>F34*$G$19</f>
        <v>#REF!</v>
      </c>
      <c r="H34" s="366" t="e">
        <f>+G34*1.1</f>
        <v>#REF!</v>
      </c>
      <c r="I34"/>
      <c r="J34"/>
      <c r="K34" s="61" t="e">
        <f>G31+G32+G35+G23+G36</f>
        <v>#REF!</v>
      </c>
      <c r="L34"/>
      <c r="N34"/>
      <c r="O34"/>
      <c r="P34"/>
      <c r="Q34"/>
      <c r="R34"/>
      <c r="S34"/>
      <c r="U34"/>
    </row>
    <row r="35" spans="1:21" s="245" customFormat="1" ht="18.95" customHeight="1">
      <c r="A35"/>
      <c r="B35"/>
      <c r="C35" s="365" t="s">
        <v>150</v>
      </c>
      <c r="D35" s="240" t="s">
        <v>233</v>
      </c>
      <c r="E35" s="39"/>
      <c r="F35" s="289"/>
      <c r="G35" s="24">
        <v>400000</v>
      </c>
      <c r="H35" s="366">
        <f>+G35*1.1</f>
        <v>440000.00000000006</v>
      </c>
      <c r="I35"/>
      <c r="J35"/>
      <c r="K35"/>
      <c r="L35"/>
      <c r="N35"/>
      <c r="O35"/>
      <c r="P35"/>
      <c r="Q35"/>
      <c r="R35"/>
      <c r="S35"/>
      <c r="U35"/>
    </row>
    <row r="36" spans="1:21" ht="16.5">
      <c r="C36" s="367" t="s">
        <v>151</v>
      </c>
      <c r="D36" s="368" t="s">
        <v>194</v>
      </c>
      <c r="E36" s="369"/>
      <c r="F36" s="370">
        <v>7.4999999999999997E-3</v>
      </c>
      <c r="G36" s="371" t="e">
        <f>F36*$G$19</f>
        <v>#REF!</v>
      </c>
      <c r="H36" s="372" t="e">
        <f>G36*1.2</f>
        <v>#REF!</v>
      </c>
    </row>
    <row r="37" spans="1:21" ht="17.25" thickBot="1">
      <c r="C37" s="42"/>
      <c r="D37" s="42"/>
      <c r="E37" s="39"/>
      <c r="F37" s="289"/>
      <c r="G37" s="24"/>
      <c r="H37" s="251"/>
    </row>
    <row r="38" spans="1:21" ht="18.75" thickBot="1">
      <c r="C38" s="503" t="s">
        <v>206</v>
      </c>
      <c r="D38" s="504"/>
      <c r="E38" s="504"/>
      <c r="F38" s="504"/>
      <c r="G38" s="163" t="e">
        <f>G19+G21+G30</f>
        <v>#REF!</v>
      </c>
      <c r="H38" s="163" t="e">
        <f>H19+H21+H30</f>
        <v>#REF!</v>
      </c>
    </row>
    <row r="39" spans="1:21" ht="16.5" thickBot="1">
      <c r="G39" s="45"/>
      <c r="H39" s="302"/>
    </row>
    <row r="40" spans="1:21" ht="15.75">
      <c r="C40" s="200" t="s">
        <v>153</v>
      </c>
      <c r="D40" s="201" t="s">
        <v>195</v>
      </c>
      <c r="E40" s="202"/>
      <c r="F40" s="303">
        <f>SUM(F41:F43)</f>
        <v>0.125</v>
      </c>
      <c r="G40" s="204" t="e">
        <f>SUM(G41,G42)</f>
        <v>#REF!</v>
      </c>
      <c r="H40" s="304" t="e">
        <f>SUM(H41,H42)</f>
        <v>#REF!</v>
      </c>
      <c r="I40" s="305"/>
    </row>
    <row r="41" spans="1:21" ht="16.5">
      <c r="C41" s="260" t="s">
        <v>154</v>
      </c>
      <c r="D41" s="240" t="s">
        <v>216</v>
      </c>
      <c r="E41" s="39"/>
      <c r="F41" s="306">
        <v>7.4999999999999997E-2</v>
      </c>
      <c r="G41" s="24" t="e">
        <f>G19*F41</f>
        <v>#REF!</v>
      </c>
      <c r="H41" s="274" t="e">
        <f>G41*1.2</f>
        <v>#REF!</v>
      </c>
      <c r="I41" s="307"/>
      <c r="K41" s="61" t="e">
        <f>G40+G19</f>
        <v>#REF!</v>
      </c>
      <c r="M41" s="245">
        <f>G37+G39</f>
        <v>0</v>
      </c>
    </row>
    <row r="42" spans="1:21" ht="17.25" thickBot="1">
      <c r="C42" s="265" t="s">
        <v>155</v>
      </c>
      <c r="D42" s="199" t="s">
        <v>203</v>
      </c>
      <c r="E42" s="54"/>
      <c r="F42" s="308">
        <v>0.05</v>
      </c>
      <c r="G42" s="59" t="e">
        <f>G38*F42</f>
        <v>#REF!</v>
      </c>
      <c r="H42" s="294" t="e">
        <f>G42*1.2</f>
        <v>#REF!</v>
      </c>
    </row>
    <row r="43" spans="1:21" ht="16.5" thickBot="1">
      <c r="C43" s="54"/>
      <c r="D43" s="54"/>
      <c r="E43" s="54"/>
      <c r="F43" s="309"/>
      <c r="G43" s="59"/>
      <c r="H43" s="310"/>
    </row>
    <row r="44" spans="1:21" ht="21" thickBot="1">
      <c r="C44" s="505" t="s">
        <v>221</v>
      </c>
      <c r="D44" s="506"/>
      <c r="E44" s="506"/>
      <c r="F44" s="507"/>
      <c r="G44" s="109"/>
      <c r="H44" s="311" t="e">
        <f>+H38+H40</f>
        <v>#REF!</v>
      </c>
    </row>
    <row r="45" spans="1:21" ht="15.75">
      <c r="C45" t="s">
        <v>222</v>
      </c>
      <c r="F45" s="312"/>
      <c r="G45" s="313" t="s">
        <v>200</v>
      </c>
      <c r="H45" s="314">
        <v>20000000</v>
      </c>
    </row>
    <row r="46" spans="1:21" ht="15.75" thickBot="1">
      <c r="G46" s="62" t="s">
        <v>196</v>
      </c>
      <c r="H46" s="315" t="e">
        <f>+H45-H44</f>
        <v>#REF!</v>
      </c>
    </row>
    <row r="50" spans="3:20" ht="24">
      <c r="C50" s="508"/>
      <c r="D50" s="508"/>
      <c r="E50" s="508"/>
      <c r="F50" s="508"/>
      <c r="G50" s="508"/>
    </row>
    <row r="51" spans="3:20" ht="25.5">
      <c r="C51" s="220"/>
      <c r="D51" s="220"/>
      <c r="E51" s="220"/>
      <c r="F51" s="246"/>
      <c r="G51" s="220"/>
      <c r="K51" s="245"/>
      <c r="M51"/>
      <c r="R51" s="245"/>
      <c r="T51"/>
    </row>
    <row r="52" spans="3:20">
      <c r="K52" s="245"/>
      <c r="M52"/>
      <c r="R52" s="245"/>
      <c r="T52"/>
    </row>
    <row r="53" spans="3:20">
      <c r="K53" s="245"/>
      <c r="M53"/>
      <c r="R53" s="245"/>
      <c r="T53"/>
    </row>
    <row r="54" spans="3:20">
      <c r="K54" s="245"/>
      <c r="M54"/>
      <c r="R54" s="245"/>
      <c r="T54"/>
    </row>
    <row r="55" spans="3:20">
      <c r="K55" s="245"/>
      <c r="M55"/>
      <c r="R55" s="245"/>
      <c r="T55"/>
    </row>
    <row r="56" spans="3:20">
      <c r="K56" s="245"/>
      <c r="M56"/>
      <c r="R56" s="245"/>
      <c r="T56"/>
    </row>
    <row r="57" spans="3:20">
      <c r="K57" s="245"/>
      <c r="M57"/>
      <c r="R57" s="245"/>
      <c r="T57"/>
    </row>
  </sheetData>
  <mergeCells count="7">
    <mergeCell ref="C50:G50"/>
    <mergeCell ref="C3:G3"/>
    <mergeCell ref="Q3:U3"/>
    <mergeCell ref="C6:D6"/>
    <mergeCell ref="C19:F19"/>
    <mergeCell ref="C38:F38"/>
    <mergeCell ref="C44:F44"/>
  </mergeCells>
  <conditionalFormatting sqref="H46">
    <cfRule type="cellIs" dxfId="5" priority="1" operator="lessThan">
      <formula>0</formula>
    </cfRule>
    <cfRule type="cellIs" dxfId="4" priority="2" operator="greaterThanOrEqual">
      <formula>0</formula>
    </cfRule>
  </conditionalFormatting>
  <pageMargins left="0.7" right="0.7" top="0.75" bottom="0.75" header="0.3" footer="0.3"/>
  <pageSetup paperSize="9" scale="4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55"/>
  <sheetViews>
    <sheetView showGridLines="0" topLeftCell="B1" zoomScale="90" zoomScaleNormal="90" zoomScaleSheetLayoutView="90" workbookViewId="0">
      <selection activeCell="H45" sqref="C2:H45"/>
    </sheetView>
  </sheetViews>
  <sheetFormatPr baseColWidth="10" defaultRowHeight="15" outlineLevelRow="1"/>
  <cols>
    <col min="1" max="1" width="0" hidden="1" customWidth="1"/>
    <col min="2" max="2" width="2.42578125" customWidth="1"/>
    <col min="3" max="3" width="8.85546875" customWidth="1"/>
    <col min="4" max="4" width="64.7109375" customWidth="1"/>
    <col min="5" max="5" width="23.7109375" customWidth="1"/>
    <col min="6" max="6" width="13.7109375" style="245" customWidth="1"/>
    <col min="7" max="7" width="25.140625" bestFit="1" customWidth="1"/>
    <col min="8" max="8" width="21.42578125" customWidth="1"/>
    <col min="9" max="9" width="2.42578125" customWidth="1"/>
    <col min="10" max="10" width="12.140625" bestFit="1" customWidth="1"/>
    <col min="11" max="11" width="25.42578125" hidden="1" customWidth="1"/>
    <col min="12" max="12" width="11.7109375" hidden="1" customWidth="1"/>
    <col min="13" max="13" width="12.42578125" style="245" hidden="1" customWidth="1"/>
    <col min="14" max="14" width="8.85546875" hidden="1" customWidth="1"/>
    <col min="15" max="15" width="9.42578125" hidden="1" customWidth="1"/>
    <col min="16" max="16" width="14.42578125" hidden="1" customWidth="1"/>
    <col min="17" max="17" width="14.140625" hidden="1" customWidth="1"/>
    <col min="18" max="18" width="64.7109375" customWidth="1"/>
    <col min="19" max="19" width="23.7109375" customWidth="1"/>
    <col min="20" max="20" width="13.7109375" style="245" customWidth="1"/>
    <col min="21" max="21" width="22.85546875" customWidth="1"/>
    <col min="22" max="22" width="21.42578125" customWidth="1"/>
  </cols>
  <sheetData>
    <row r="2" spans="1:21">
      <c r="C2" s="221"/>
      <c r="D2" s="221"/>
      <c r="Q2" s="221"/>
      <c r="R2" s="221"/>
    </row>
    <row r="3" spans="1:21" ht="24">
      <c r="C3" s="508" t="s">
        <v>199</v>
      </c>
      <c r="D3" s="508"/>
      <c r="E3" s="508"/>
      <c r="F3" s="508"/>
      <c r="G3" s="508"/>
      <c r="Q3" s="508"/>
      <c r="R3" s="508"/>
      <c r="S3" s="508"/>
      <c r="T3" s="508"/>
      <c r="U3" s="508"/>
    </row>
    <row r="4" spans="1:21" ht="25.5">
      <c r="C4" s="220"/>
      <c r="D4" s="220"/>
      <c r="E4" s="220"/>
      <c r="F4" s="246"/>
      <c r="G4" s="220"/>
      <c r="Q4" s="220"/>
      <c r="R4" s="220"/>
      <c r="S4" s="220"/>
      <c r="T4" s="246"/>
      <c r="U4" s="220"/>
    </row>
    <row r="5" spans="1:21" ht="23.45" customHeight="1">
      <c r="A5" s="4"/>
      <c r="B5" s="4"/>
      <c r="C5" s="247" t="s">
        <v>266</v>
      </c>
      <c r="D5" s="247" t="s">
        <v>274</v>
      </c>
      <c r="E5" s="247"/>
      <c r="F5" s="247"/>
      <c r="G5" s="247"/>
      <c r="H5" s="247"/>
      <c r="I5" s="4"/>
      <c r="J5" s="4"/>
      <c r="T5"/>
    </row>
    <row r="6" spans="1:21" ht="30">
      <c r="C6" s="509" t="s">
        <v>40</v>
      </c>
      <c r="D6" s="509"/>
      <c r="E6" s="248" t="s">
        <v>41</v>
      </c>
      <c r="F6" s="248" t="s">
        <v>42</v>
      </c>
      <c r="G6" s="249" t="s">
        <v>124</v>
      </c>
      <c r="H6" s="249" t="s">
        <v>125</v>
      </c>
      <c r="T6"/>
    </row>
    <row r="7" spans="1:21" ht="16.5" thickBot="1">
      <c r="C7" s="39"/>
      <c r="D7" s="39"/>
      <c r="E7" s="39"/>
      <c r="F7" s="250"/>
      <c r="G7" s="24"/>
      <c r="H7" s="251"/>
      <c r="M7"/>
      <c r="T7"/>
    </row>
    <row r="8" spans="1:21" ht="15.6" customHeight="1">
      <c r="C8" s="341" t="s">
        <v>126</v>
      </c>
      <c r="D8" s="342" t="s">
        <v>223</v>
      </c>
      <c r="E8" s="343">
        <f>E9+E11</f>
        <v>1340</v>
      </c>
      <c r="F8" s="344"/>
      <c r="G8" s="345">
        <f>G9+G11</f>
        <v>2756000</v>
      </c>
      <c r="H8" s="346">
        <f>G8*1.2</f>
        <v>3307200</v>
      </c>
      <c r="M8"/>
      <c r="T8"/>
    </row>
    <row r="9" spans="1:21" ht="15.6" customHeight="1" outlineLevel="1">
      <c r="C9" s="347" t="s">
        <v>130</v>
      </c>
      <c r="D9" s="373" t="s">
        <v>215</v>
      </c>
      <c r="E9" s="374">
        <f>E10</f>
        <v>500</v>
      </c>
      <c r="F9" s="375">
        <v>2150</v>
      </c>
      <c r="G9" s="376">
        <f>G10</f>
        <v>950000</v>
      </c>
      <c r="H9" s="348">
        <f>G9*1.2</f>
        <v>1140000</v>
      </c>
      <c r="M9"/>
      <c r="T9"/>
    </row>
    <row r="10" spans="1:21" ht="15.6" customHeight="1" outlineLevel="1">
      <c r="C10" s="349" t="s">
        <v>132</v>
      </c>
      <c r="D10" s="380" t="s">
        <v>264</v>
      </c>
      <c r="E10" s="377">
        <v>500</v>
      </c>
      <c r="F10" s="379">
        <v>1900</v>
      </c>
      <c r="G10" s="378">
        <f t="shared" ref="G10" si="0">E10*F10</f>
        <v>950000</v>
      </c>
      <c r="H10" s="350">
        <f t="shared" ref="H10" si="1">G10*1.2</f>
        <v>1140000</v>
      </c>
      <c r="M10"/>
      <c r="T10"/>
    </row>
    <row r="11" spans="1:21" ht="15.6" customHeight="1" thickBot="1">
      <c r="C11" s="351" t="s">
        <v>131</v>
      </c>
      <c r="D11" s="352" t="s">
        <v>248</v>
      </c>
      <c r="E11" s="353">
        <f>E12</f>
        <v>840</v>
      </c>
      <c r="F11" s="358">
        <f>G11/E11</f>
        <v>2150</v>
      </c>
      <c r="G11" s="354">
        <f>G12</f>
        <v>1806000</v>
      </c>
      <c r="H11" s="355">
        <f>H12</f>
        <v>2167200</v>
      </c>
      <c r="M11"/>
      <c r="T11"/>
    </row>
    <row r="12" spans="1:21" ht="15.6" customHeight="1" outlineLevel="1" thickBot="1">
      <c r="C12" s="382" t="s">
        <v>136</v>
      </c>
      <c r="D12" s="383" t="s">
        <v>265</v>
      </c>
      <c r="E12" s="384">
        <v>840</v>
      </c>
      <c r="F12" s="385">
        <v>2150</v>
      </c>
      <c r="G12" s="386">
        <f>E12*F12</f>
        <v>1806000</v>
      </c>
      <c r="H12" s="387">
        <f>G12*1.2</f>
        <v>2167200</v>
      </c>
      <c r="M12"/>
      <c r="T12"/>
    </row>
    <row r="13" spans="1:21" ht="17.100000000000001" customHeight="1" thickBot="1">
      <c r="C13" s="266"/>
      <c r="D13" s="261"/>
      <c r="E13" s="262"/>
      <c r="F13" s="263"/>
      <c r="G13" s="264"/>
      <c r="H13" s="267"/>
      <c r="M13"/>
      <c r="T13"/>
    </row>
    <row r="14" spans="1:21" ht="16.5">
      <c r="C14" s="268" t="s">
        <v>139</v>
      </c>
      <c r="D14" s="269" t="s">
        <v>180</v>
      </c>
      <c r="E14" s="270"/>
      <c r="F14" s="271"/>
      <c r="G14" s="272" t="e">
        <f>SUM(G15:G16)</f>
        <v>#REF!</v>
      </c>
      <c r="H14" s="273" t="e">
        <f>SUM(H15:H16)</f>
        <v>#REF!</v>
      </c>
      <c r="T14"/>
    </row>
    <row r="15" spans="1:21" ht="16.5" outlineLevel="1">
      <c r="C15" s="260" t="s">
        <v>181</v>
      </c>
      <c r="D15" s="240" t="s">
        <v>208</v>
      </c>
      <c r="E15" s="356">
        <f>E8</f>
        <v>1340</v>
      </c>
      <c r="F15" s="357">
        <v>175</v>
      </c>
      <c r="G15" s="24">
        <f>F15*E15</f>
        <v>234500</v>
      </c>
      <c r="H15" s="274">
        <f>G15*1.2</f>
        <v>281400</v>
      </c>
      <c r="K15" s="328"/>
      <c r="L15" s="329"/>
      <c r="M15" s="328"/>
    </row>
    <row r="16" spans="1:21" ht="18.75" outlineLevel="1" thickBot="1">
      <c r="C16" s="260" t="s">
        <v>183</v>
      </c>
      <c r="D16" s="240" t="s">
        <v>213</v>
      </c>
      <c r="E16" s="356" t="e">
        <f>IF(#REF!=DATA!A5,DATA!C5,0)</f>
        <v>#REF!</v>
      </c>
      <c r="F16" s="357">
        <v>175</v>
      </c>
      <c r="G16" s="390" t="e">
        <f>E16*F16</f>
        <v>#REF!</v>
      </c>
      <c r="H16" s="274" t="e">
        <f>G16*1.2</f>
        <v>#REF!</v>
      </c>
      <c r="K16" s="328"/>
      <c r="L16" s="329"/>
      <c r="M16" s="328"/>
    </row>
    <row r="17" spans="1:21" ht="16.5" thickBot="1">
      <c r="C17" s="275"/>
      <c r="D17" s="276"/>
      <c r="E17" s="277"/>
      <c r="F17" s="278"/>
      <c r="G17" s="279"/>
      <c r="H17" s="280"/>
    </row>
    <row r="18" spans="1:21" s="245" customFormat="1" ht="18.75" thickBot="1">
      <c r="A18"/>
      <c r="B18"/>
      <c r="C18" s="503" t="s">
        <v>214</v>
      </c>
      <c r="D18" s="504"/>
      <c r="E18" s="504"/>
      <c r="F18" s="504"/>
      <c r="G18" s="163" t="e">
        <f>+G14+G8</f>
        <v>#REF!</v>
      </c>
      <c r="H18" s="163" t="e">
        <f>+H8+H14</f>
        <v>#REF!</v>
      </c>
      <c r="I18"/>
      <c r="J18"/>
      <c r="K18"/>
      <c r="L18"/>
      <c r="N18"/>
      <c r="O18"/>
      <c r="P18"/>
      <c r="Q18"/>
      <c r="R18"/>
      <c r="S18"/>
      <c r="U18"/>
    </row>
    <row r="19" spans="1:21" s="245" customFormat="1" ht="16.5" thickBot="1">
      <c r="A19"/>
      <c r="B19"/>
      <c r="C19"/>
      <c r="D19"/>
      <c r="E19" s="281"/>
      <c r="F19" s="282"/>
      <c r="G19" s="235"/>
      <c r="H19" s="235"/>
      <c r="I19"/>
      <c r="J19"/>
      <c r="K19"/>
      <c r="L19"/>
      <c r="N19"/>
      <c r="O19"/>
      <c r="P19" t="s">
        <v>281</v>
      </c>
      <c r="Q19" t="s">
        <v>282</v>
      </c>
      <c r="R19"/>
      <c r="S19"/>
      <c r="U19"/>
    </row>
    <row r="20" spans="1:21" s="245" customFormat="1" ht="15.75">
      <c r="A20"/>
      <c r="B20"/>
      <c r="C20" s="283" t="s">
        <v>144</v>
      </c>
      <c r="D20" s="284" t="s">
        <v>185</v>
      </c>
      <c r="E20" s="285"/>
      <c r="F20" s="286" t="e">
        <f>SUM(F21:F27)</f>
        <v>#REF!</v>
      </c>
      <c r="G20" s="287" t="e">
        <f>+SUM(G21:G27)</f>
        <v>#REF!</v>
      </c>
      <c r="H20" s="288" t="e">
        <f>SUM(H21:H27)</f>
        <v>#REF!</v>
      </c>
      <c r="I20"/>
      <c r="J20"/>
      <c r="K20"/>
      <c r="L20"/>
      <c r="N20"/>
      <c r="O20">
        <v>2025</v>
      </c>
      <c r="P20" t="e">
        <f>K35+((M23+M24)*K29)</f>
        <v>#REF!</v>
      </c>
      <c r="Q20">
        <v>0</v>
      </c>
      <c r="R20"/>
      <c r="S20"/>
      <c r="U20"/>
    </row>
    <row r="21" spans="1:21" s="245" customFormat="1" ht="16.5">
      <c r="A21"/>
      <c r="B21"/>
      <c r="C21" s="260" t="s">
        <v>181</v>
      </c>
      <c r="D21" s="240" t="s">
        <v>112</v>
      </c>
      <c r="E21" s="39"/>
      <c r="F21" s="289">
        <v>0.13</v>
      </c>
      <c r="G21" s="24" t="e">
        <f>$G$18*F21</f>
        <v>#REF!</v>
      </c>
      <c r="H21" s="274" t="e">
        <f t="shared" ref="H21:H27" si="2">G21*1.2</f>
        <v>#REF!</v>
      </c>
      <c r="I21"/>
      <c r="J21"/>
      <c r="K21"/>
      <c r="L21"/>
      <c r="N21"/>
      <c r="O21">
        <v>2026</v>
      </c>
      <c r="P21" s="61" t="e">
        <f>(M25+M26+M27+(2/23*M28))*K29</f>
        <v>#REF!</v>
      </c>
      <c r="Q21" s="61" t="e">
        <f>K42*(2/23)</f>
        <v>#REF!</v>
      </c>
      <c r="R21"/>
      <c r="S21"/>
      <c r="U21"/>
    </row>
    <row r="22" spans="1:21" s="245" customFormat="1" ht="16.5">
      <c r="A22"/>
      <c r="B22"/>
      <c r="C22" s="290" t="s">
        <v>182</v>
      </c>
      <c r="D22" s="291" t="s">
        <v>186</v>
      </c>
      <c r="E22" s="39"/>
      <c r="F22" s="292" t="e">
        <f>+G22/G18</f>
        <v>#REF!</v>
      </c>
      <c r="G22" s="24" t="e">
        <f>G21*0.05*0.8</f>
        <v>#REF!</v>
      </c>
      <c r="H22" s="274" t="e">
        <f t="shared" si="2"/>
        <v>#REF!</v>
      </c>
      <c r="I22"/>
      <c r="J22"/>
      <c r="K22" s="330"/>
      <c r="L22" s="331"/>
      <c r="N22"/>
      <c r="O22">
        <v>2027</v>
      </c>
      <c r="P22" s="61" t="e">
        <f>(12/23*M28)*K29</f>
        <v>#REF!</v>
      </c>
      <c r="Q22" s="61" t="e">
        <f>K42*(12/23)</f>
        <v>#REF!</v>
      </c>
      <c r="R22"/>
      <c r="S22"/>
      <c r="U22"/>
    </row>
    <row r="23" spans="1:21" s="245" customFormat="1" ht="16.5">
      <c r="A23"/>
      <c r="B23"/>
      <c r="C23" s="260" t="s">
        <v>183</v>
      </c>
      <c r="D23" s="240" t="s">
        <v>114</v>
      </c>
      <c r="E23" s="39"/>
      <c r="F23" s="289">
        <v>0.02</v>
      </c>
      <c r="G23" s="24" t="e">
        <f>$G$18*F23</f>
        <v>#REF!</v>
      </c>
      <c r="H23" s="274" t="e">
        <f t="shared" si="2"/>
        <v>#REF!</v>
      </c>
      <c r="I23"/>
      <c r="J23"/>
      <c r="K23"/>
      <c r="L23" t="s">
        <v>276</v>
      </c>
      <c r="M23" s="245">
        <v>0.05</v>
      </c>
      <c r="N23"/>
      <c r="O23">
        <v>2028</v>
      </c>
      <c r="P23" s="61" t="e">
        <f>(9/23*M28)*K29</f>
        <v>#REF!</v>
      </c>
      <c r="Q23" s="61" t="e">
        <f>K42*(9/23)</f>
        <v>#REF!</v>
      </c>
      <c r="R23"/>
      <c r="S23"/>
      <c r="U23"/>
    </row>
    <row r="24" spans="1:21" s="245" customFormat="1" ht="16.5">
      <c r="A24"/>
      <c r="B24"/>
      <c r="C24" s="260" t="s">
        <v>187</v>
      </c>
      <c r="D24" s="240" t="s">
        <v>188</v>
      </c>
      <c r="E24" s="39"/>
      <c r="F24" s="289">
        <v>5.0000000000000001E-3</v>
      </c>
      <c r="G24" s="24" t="e">
        <f>$G$18*F24</f>
        <v>#REF!</v>
      </c>
      <c r="H24" s="274" t="e">
        <f t="shared" si="2"/>
        <v>#REF!</v>
      </c>
      <c r="I24"/>
      <c r="J24"/>
      <c r="K24"/>
      <c r="L24" t="s">
        <v>275</v>
      </c>
      <c r="M24" s="245">
        <v>0.1</v>
      </c>
      <c r="N24"/>
      <c r="O24"/>
      <c r="P24"/>
      <c r="Q24"/>
      <c r="R24"/>
      <c r="S24"/>
      <c r="U24"/>
    </row>
    <row r="25" spans="1:21" s="245" customFormat="1" ht="16.5">
      <c r="A25"/>
      <c r="B25"/>
      <c r="C25" s="260" t="s">
        <v>189</v>
      </c>
      <c r="D25" s="240" t="s">
        <v>115</v>
      </c>
      <c r="E25" s="39"/>
      <c r="F25" s="289">
        <v>1.4999999999999999E-2</v>
      </c>
      <c r="G25" s="24" t="e">
        <f>$G$18*F25</f>
        <v>#REF!</v>
      </c>
      <c r="H25" s="274" t="e">
        <f t="shared" si="2"/>
        <v>#REF!</v>
      </c>
      <c r="I25"/>
      <c r="J25"/>
      <c r="K25"/>
      <c r="L25" t="s">
        <v>280</v>
      </c>
      <c r="M25" s="245">
        <v>0.15</v>
      </c>
      <c r="N25"/>
      <c r="O25"/>
      <c r="P25"/>
      <c r="Q25"/>
      <c r="R25"/>
      <c r="S25"/>
      <c r="U25"/>
    </row>
    <row r="26" spans="1:21" s="245" customFormat="1" ht="16.5">
      <c r="A26"/>
      <c r="B26"/>
      <c r="C26" s="260" t="s">
        <v>190</v>
      </c>
      <c r="D26" s="240" t="s">
        <v>116</v>
      </c>
      <c r="E26" s="39"/>
      <c r="F26" s="289">
        <v>5.0000000000000001E-3</v>
      </c>
      <c r="G26" s="24" t="e">
        <f>$G$18*F26</f>
        <v>#REF!</v>
      </c>
      <c r="H26" s="274" t="e">
        <f t="shared" si="2"/>
        <v>#REF!</v>
      </c>
      <c r="I26"/>
      <c r="J26"/>
      <c r="K26"/>
      <c r="L26" t="s">
        <v>277</v>
      </c>
      <c r="M26" s="245">
        <v>0.15</v>
      </c>
      <c r="N26"/>
      <c r="O26"/>
      <c r="P26"/>
      <c r="Q26"/>
      <c r="R26"/>
      <c r="S26"/>
      <c r="U26"/>
    </row>
    <row r="27" spans="1:21" s="245" customFormat="1" ht="17.25" thickBot="1">
      <c r="A27"/>
      <c r="B27"/>
      <c r="C27" s="265" t="s">
        <v>191</v>
      </c>
      <c r="D27" s="199" t="s">
        <v>117</v>
      </c>
      <c r="E27" s="54"/>
      <c r="F27" s="293">
        <v>5.0000000000000001E-3</v>
      </c>
      <c r="G27" s="59" t="e">
        <f>$G$18*F27</f>
        <v>#REF!</v>
      </c>
      <c r="H27" s="294" t="e">
        <f t="shared" si="2"/>
        <v>#REF!</v>
      </c>
      <c r="I27"/>
      <c r="J27"/>
      <c r="K27"/>
      <c r="L27" t="s">
        <v>278</v>
      </c>
      <c r="M27" s="245">
        <v>0.05</v>
      </c>
      <c r="N27"/>
      <c r="O27"/>
      <c r="P27"/>
      <c r="Q27"/>
      <c r="R27"/>
      <c r="S27"/>
      <c r="U27"/>
    </row>
    <row r="28" spans="1:21" s="245" customFormat="1" ht="15.75">
      <c r="A28"/>
      <c r="B28"/>
      <c r="C28" s="39"/>
      <c r="D28" s="39"/>
      <c r="E28" s="39"/>
      <c r="F28" s="289"/>
      <c r="G28" s="24"/>
      <c r="H28" s="251"/>
      <c r="I28"/>
      <c r="J28"/>
      <c r="K28"/>
      <c r="L28" t="s">
        <v>279</v>
      </c>
      <c r="M28" s="245">
        <v>0.5</v>
      </c>
      <c r="N28"/>
      <c r="O28"/>
      <c r="P28"/>
      <c r="Q28"/>
      <c r="R28"/>
      <c r="S28"/>
      <c r="U28"/>
    </row>
    <row r="29" spans="1:21" s="245" customFormat="1" ht="16.5">
      <c r="A29"/>
      <c r="B29"/>
      <c r="C29" s="359" t="s">
        <v>145</v>
      </c>
      <c r="D29" s="360" t="s">
        <v>192</v>
      </c>
      <c r="E29" s="361"/>
      <c r="F29" s="362"/>
      <c r="G29" s="363" t="e">
        <f>SUM(G30:G34)</f>
        <v>#REF!</v>
      </c>
      <c r="H29" s="364" t="e">
        <f>SUM(H30:H34)</f>
        <v>#REF!</v>
      </c>
      <c r="I29"/>
      <c r="J29" s="301"/>
      <c r="K29" s="61" t="e">
        <f>G20+G29-K35</f>
        <v>#REF!</v>
      </c>
      <c r="L29"/>
      <c r="N29"/>
      <c r="O29"/>
      <c r="P29"/>
      <c r="Q29"/>
      <c r="R29"/>
      <c r="S29"/>
      <c r="U29"/>
    </row>
    <row r="30" spans="1:21" s="245" customFormat="1" ht="16.5">
      <c r="A30"/>
      <c r="B30"/>
      <c r="C30" s="365" t="s">
        <v>146</v>
      </c>
      <c r="D30" s="240" t="s">
        <v>119</v>
      </c>
      <c r="E30" s="39"/>
      <c r="F30" s="289">
        <v>2E-3</v>
      </c>
      <c r="G30" s="24" t="e">
        <f>F30*$G$18</f>
        <v>#REF!</v>
      </c>
      <c r="H30" s="366" t="e">
        <f>G30*1.2</f>
        <v>#REF!</v>
      </c>
      <c r="I30"/>
      <c r="J30"/>
      <c r="K30"/>
      <c r="L30"/>
      <c r="N30"/>
      <c r="O30"/>
      <c r="P30"/>
      <c r="Q30"/>
      <c r="R30"/>
      <c r="S30"/>
      <c r="U30"/>
    </row>
    <row r="31" spans="1:21" s="245" customFormat="1" ht="16.5">
      <c r="A31"/>
      <c r="B31"/>
      <c r="C31" s="365" t="s">
        <v>147</v>
      </c>
      <c r="D31" s="240" t="s">
        <v>120</v>
      </c>
      <c r="E31" s="39"/>
      <c r="F31" s="289">
        <v>4.0000000000000001E-3</v>
      </c>
      <c r="G31" s="24" t="e">
        <f>+F31*G18</f>
        <v>#REF!</v>
      </c>
      <c r="H31" s="366" t="e">
        <f>G31*1.2</f>
        <v>#REF!</v>
      </c>
      <c r="I31"/>
      <c r="J31"/>
      <c r="K31"/>
      <c r="L31"/>
      <c r="N31"/>
      <c r="O31"/>
      <c r="P31"/>
      <c r="Q31"/>
      <c r="R31"/>
      <c r="S31"/>
      <c r="U31"/>
    </row>
    <row r="32" spans="1:21" s="245" customFormat="1" ht="16.5">
      <c r="A32"/>
      <c r="B32"/>
      <c r="C32" s="365" t="s">
        <v>148</v>
      </c>
      <c r="D32" s="240" t="s">
        <v>121</v>
      </c>
      <c r="E32" s="39"/>
      <c r="F32" s="289">
        <v>0.01</v>
      </c>
      <c r="G32" s="24" t="e">
        <f>+F32*G18</f>
        <v>#REF!</v>
      </c>
      <c r="H32" s="366" t="e">
        <f>G32*1.2</f>
        <v>#REF!</v>
      </c>
      <c r="I32"/>
      <c r="J32"/>
      <c r="K32"/>
      <c r="L32"/>
      <c r="N32"/>
      <c r="O32"/>
      <c r="P32"/>
      <c r="Q32"/>
      <c r="R32"/>
      <c r="S32"/>
      <c r="U32"/>
    </row>
    <row r="33" spans="1:21" s="245" customFormat="1" ht="18.95" customHeight="1">
      <c r="A33"/>
      <c r="B33"/>
      <c r="C33" s="365" t="s">
        <v>149</v>
      </c>
      <c r="D33" s="240" t="s">
        <v>207</v>
      </c>
      <c r="E33" s="39"/>
      <c r="F33" s="289">
        <v>0.02</v>
      </c>
      <c r="G33" s="24" t="e">
        <f>F33*$G$18</f>
        <v>#REF!</v>
      </c>
      <c r="H33" s="366" t="e">
        <f>+G33*1.1</f>
        <v>#REF!</v>
      </c>
      <c r="I33"/>
      <c r="J33"/>
      <c r="K33"/>
      <c r="L33"/>
      <c r="N33"/>
      <c r="O33"/>
      <c r="P33"/>
      <c r="Q33"/>
      <c r="R33"/>
      <c r="S33"/>
      <c r="U33"/>
    </row>
    <row r="34" spans="1:21" ht="16.5">
      <c r="C34" s="367" t="s">
        <v>150</v>
      </c>
      <c r="D34" s="368" t="s">
        <v>194</v>
      </c>
      <c r="E34" s="369"/>
      <c r="F34" s="370">
        <v>7.4999999999999997E-3</v>
      </c>
      <c r="G34" s="371" t="e">
        <f>F34*$G$18</f>
        <v>#REF!</v>
      </c>
      <c r="H34" s="372" t="e">
        <f>G34*1.2</f>
        <v>#REF!</v>
      </c>
    </row>
    <row r="35" spans="1:21" ht="17.25" thickBot="1">
      <c r="C35" s="42"/>
      <c r="D35" s="42"/>
      <c r="E35" s="39"/>
      <c r="F35" s="289"/>
      <c r="G35" s="24"/>
      <c r="H35" s="251"/>
      <c r="K35" s="61" t="e">
        <f>G30+G31+G34+G22</f>
        <v>#REF!</v>
      </c>
    </row>
    <row r="36" spans="1:21" ht="18.75" thickBot="1">
      <c r="C36" s="503" t="s">
        <v>206</v>
      </c>
      <c r="D36" s="504"/>
      <c r="E36" s="504"/>
      <c r="F36" s="504"/>
      <c r="G36" s="163" t="e">
        <f>G18+G20+G29</f>
        <v>#REF!</v>
      </c>
      <c r="H36" s="163" t="e">
        <f>H18+H20+H29</f>
        <v>#REF!</v>
      </c>
    </row>
    <row r="37" spans="1:21" ht="16.5" thickBot="1">
      <c r="G37" s="45"/>
      <c r="H37" s="302"/>
    </row>
    <row r="38" spans="1:21" ht="15.75">
      <c r="C38" s="200" t="s">
        <v>153</v>
      </c>
      <c r="D38" s="201" t="s">
        <v>195</v>
      </c>
      <c r="E38" s="202"/>
      <c r="F38" s="303">
        <f>SUM(F39:F41)</f>
        <v>0.09</v>
      </c>
      <c r="G38" s="204" t="e">
        <f>SUM(G39,G40)</f>
        <v>#REF!</v>
      </c>
      <c r="H38" s="304" t="e">
        <f>SUM(H39,H40)</f>
        <v>#REF!</v>
      </c>
      <c r="I38" s="305"/>
    </row>
    <row r="39" spans="1:21" ht="16.5">
      <c r="C39" s="260" t="s">
        <v>154</v>
      </c>
      <c r="D39" s="240" t="s">
        <v>216</v>
      </c>
      <c r="E39" s="39"/>
      <c r="F39" s="306">
        <v>0.05</v>
      </c>
      <c r="G39" s="24" t="e">
        <f>G18*F39</f>
        <v>#REF!</v>
      </c>
      <c r="H39" s="274" t="e">
        <f>G39*1.2</f>
        <v>#REF!</v>
      </c>
      <c r="I39" s="307"/>
    </row>
    <row r="40" spans="1:21" ht="17.25" thickBot="1">
      <c r="C40" s="265" t="s">
        <v>155</v>
      </c>
      <c r="D40" s="199" t="s">
        <v>203</v>
      </c>
      <c r="E40" s="54"/>
      <c r="F40" s="308">
        <v>0.04</v>
      </c>
      <c r="G40" s="59" t="e">
        <f>G36*F40</f>
        <v>#REF!</v>
      </c>
      <c r="H40" s="294" t="e">
        <f>G40*1.2</f>
        <v>#REF!</v>
      </c>
    </row>
    <row r="41" spans="1:21" ht="16.5" thickBot="1">
      <c r="C41" s="54"/>
      <c r="D41" s="54"/>
      <c r="E41" s="54"/>
      <c r="F41" s="309"/>
      <c r="G41" s="59"/>
      <c r="H41" s="310"/>
    </row>
    <row r="42" spans="1:21" ht="21" thickBot="1">
      <c r="C42" s="505" t="s">
        <v>221</v>
      </c>
      <c r="D42" s="506"/>
      <c r="E42" s="506"/>
      <c r="F42" s="507"/>
      <c r="G42" s="109"/>
      <c r="H42" s="311" t="e">
        <f>+H36+H38</f>
        <v>#REF!</v>
      </c>
      <c r="K42" s="61" t="e">
        <f>G38+G18</f>
        <v>#REF!</v>
      </c>
      <c r="M42" s="392"/>
    </row>
    <row r="43" spans="1:21" ht="15.75">
      <c r="C43" t="s">
        <v>222</v>
      </c>
      <c r="F43" s="312"/>
      <c r="G43" s="313" t="s">
        <v>200</v>
      </c>
      <c r="H43" s="314"/>
    </row>
    <row r="44" spans="1:21" ht="15.75" thickBot="1">
      <c r="G44" s="62" t="s">
        <v>196</v>
      </c>
      <c r="H44" s="315" t="e">
        <f>+H43-H42</f>
        <v>#REF!</v>
      </c>
    </row>
    <row r="48" spans="1:21" ht="24">
      <c r="C48" s="508"/>
      <c r="D48" s="508"/>
      <c r="E48" s="508"/>
      <c r="F48" s="508"/>
      <c r="G48" s="508"/>
    </row>
    <row r="49" spans="3:20" ht="25.5">
      <c r="C49" s="220"/>
      <c r="D49" s="220"/>
      <c r="E49" s="220"/>
      <c r="F49" s="246"/>
      <c r="G49" s="220"/>
      <c r="K49" s="245"/>
      <c r="M49"/>
      <c r="R49" s="245"/>
      <c r="T49"/>
    </row>
    <row r="50" spans="3:20">
      <c r="K50" s="245"/>
      <c r="M50"/>
      <c r="R50" s="245"/>
      <c r="T50"/>
    </row>
    <row r="51" spans="3:20">
      <c r="K51" s="245"/>
      <c r="M51"/>
      <c r="R51" s="245"/>
      <c r="T51"/>
    </row>
    <row r="52" spans="3:20">
      <c r="K52" s="245"/>
      <c r="M52"/>
      <c r="R52" s="245"/>
      <c r="T52"/>
    </row>
    <row r="53" spans="3:20">
      <c r="K53" s="245"/>
      <c r="M53"/>
      <c r="R53" s="245"/>
      <c r="T53"/>
    </row>
    <row r="54" spans="3:20">
      <c r="K54" s="245"/>
      <c r="M54"/>
      <c r="R54" s="245"/>
      <c r="T54"/>
    </row>
    <row r="55" spans="3:20">
      <c r="K55" s="245"/>
      <c r="M55"/>
      <c r="R55" s="245"/>
      <c r="T55"/>
    </row>
  </sheetData>
  <mergeCells count="7">
    <mergeCell ref="C48:G48"/>
    <mergeCell ref="C3:G3"/>
    <mergeCell ref="Q3:U3"/>
    <mergeCell ref="C6:D6"/>
    <mergeCell ref="C18:F18"/>
    <mergeCell ref="C36:F36"/>
    <mergeCell ref="C42:F42"/>
  </mergeCells>
  <conditionalFormatting sqref="H44">
    <cfRule type="cellIs" dxfId="3" priority="1" operator="lessThan">
      <formula>0</formula>
    </cfRule>
    <cfRule type="cellIs" dxfId="2" priority="2" operator="greaterThanOrEqual">
      <formula>0</formula>
    </cfRule>
  </conditionalFormatting>
  <pageMargins left="0.7" right="0.7" top="0.75" bottom="0.75" header="0.3" footer="0.3"/>
  <pageSetup paperSize="9" scale="46"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BC32"/>
  <sheetViews>
    <sheetView showGridLines="0" tabSelected="1" topLeftCell="D1" zoomScale="84" zoomScaleNormal="60" workbookViewId="0">
      <selection activeCell="Y41" sqref="Y41"/>
    </sheetView>
  </sheetViews>
  <sheetFormatPr baseColWidth="10" defaultColWidth="10.85546875" defaultRowHeight="15"/>
  <cols>
    <col min="1" max="3" width="10.85546875" style="393"/>
    <col min="4" max="4" width="86" style="393" customWidth="1"/>
    <col min="5" max="5" width="10.85546875" style="393"/>
    <col min="6" max="58" width="4.140625" style="393" customWidth="1"/>
    <col min="59" max="16384" width="10.85546875" style="393"/>
  </cols>
  <sheetData>
    <row r="2" spans="4:55" ht="15.75" thickBot="1"/>
    <row r="3" spans="4:55">
      <c r="F3" s="510">
        <v>2026</v>
      </c>
      <c r="G3" s="511"/>
      <c r="H3" s="511"/>
      <c r="I3" s="511"/>
      <c r="J3" s="511"/>
      <c r="K3" s="511"/>
      <c r="L3" s="511"/>
      <c r="M3" s="511"/>
      <c r="N3" s="512">
        <v>2027</v>
      </c>
      <c r="O3" s="511"/>
      <c r="P3" s="511"/>
      <c r="Q3" s="511"/>
      <c r="R3" s="511"/>
      <c r="S3" s="511"/>
      <c r="T3" s="511"/>
      <c r="U3" s="511"/>
      <c r="V3" s="511"/>
      <c r="W3" s="511"/>
      <c r="X3" s="511"/>
      <c r="Y3" s="513"/>
      <c r="Z3" s="512">
        <v>2028</v>
      </c>
      <c r="AA3" s="511"/>
      <c r="AB3" s="511"/>
      <c r="AC3" s="511"/>
      <c r="AD3" s="511"/>
      <c r="AE3" s="511"/>
      <c r="AF3" s="511"/>
      <c r="AG3" s="511"/>
      <c r="AH3" s="511"/>
      <c r="AI3" s="511"/>
      <c r="AJ3" s="511"/>
      <c r="AK3" s="513"/>
      <c r="AL3" s="512">
        <v>2029</v>
      </c>
      <c r="AM3" s="511"/>
      <c r="AN3" s="511"/>
      <c r="AO3" s="511"/>
      <c r="AP3" s="511"/>
      <c r="AQ3" s="511"/>
      <c r="AR3" s="511"/>
      <c r="AS3" s="511"/>
      <c r="AT3" s="511"/>
      <c r="AU3" s="511"/>
      <c r="AV3" s="511"/>
      <c r="AW3" s="513"/>
      <c r="AX3" s="512">
        <v>2030</v>
      </c>
      <c r="AY3" s="511"/>
      <c r="AZ3" s="511"/>
      <c r="BA3" s="511"/>
      <c r="BB3" s="511"/>
      <c r="BC3" s="514"/>
    </row>
    <row r="4" spans="4:55" ht="15.75" thickBot="1">
      <c r="F4" s="394">
        <v>5</v>
      </c>
      <c r="G4" s="395">
        <v>6</v>
      </c>
      <c r="H4" s="395">
        <v>7</v>
      </c>
      <c r="I4" s="395">
        <v>8</v>
      </c>
      <c r="J4" s="395">
        <v>9</v>
      </c>
      <c r="K4" s="395">
        <v>10</v>
      </c>
      <c r="L4" s="395">
        <v>11</v>
      </c>
      <c r="M4" s="395">
        <v>12</v>
      </c>
      <c r="N4" s="397">
        <v>1</v>
      </c>
      <c r="O4" s="395">
        <v>2</v>
      </c>
      <c r="P4" s="395">
        <v>3</v>
      </c>
      <c r="Q4" s="395">
        <v>4</v>
      </c>
      <c r="R4" s="395">
        <v>5</v>
      </c>
      <c r="S4" s="395">
        <v>6</v>
      </c>
      <c r="T4" s="395">
        <v>7</v>
      </c>
      <c r="U4" s="395">
        <v>8</v>
      </c>
      <c r="V4" s="395">
        <v>9</v>
      </c>
      <c r="W4" s="395">
        <v>10</v>
      </c>
      <c r="X4" s="395">
        <v>11</v>
      </c>
      <c r="Y4" s="396">
        <v>12</v>
      </c>
      <c r="Z4" s="397">
        <v>1</v>
      </c>
      <c r="AA4" s="395">
        <v>2</v>
      </c>
      <c r="AB4" s="395">
        <v>3</v>
      </c>
      <c r="AC4" s="395">
        <v>4</v>
      </c>
      <c r="AD4" s="395">
        <v>5</v>
      </c>
      <c r="AE4" s="395">
        <v>6</v>
      </c>
      <c r="AF4" s="395">
        <v>7</v>
      </c>
      <c r="AG4" s="395">
        <v>8</v>
      </c>
      <c r="AH4" s="395">
        <v>9</v>
      </c>
      <c r="AI4" s="395">
        <v>10</v>
      </c>
      <c r="AJ4" s="395">
        <v>11</v>
      </c>
      <c r="AK4" s="396">
        <v>12</v>
      </c>
      <c r="AL4" s="397">
        <v>1</v>
      </c>
      <c r="AM4" s="395">
        <v>2</v>
      </c>
      <c r="AN4" s="395">
        <v>3</v>
      </c>
      <c r="AO4" s="395">
        <v>4</v>
      </c>
      <c r="AP4" s="395">
        <v>5</v>
      </c>
      <c r="AQ4" s="395">
        <v>6</v>
      </c>
      <c r="AR4" s="395">
        <v>7</v>
      </c>
      <c r="AS4" s="395">
        <v>8</v>
      </c>
      <c r="AT4" s="395">
        <v>9</v>
      </c>
      <c r="AU4" s="395">
        <v>10</v>
      </c>
      <c r="AV4" s="395">
        <v>11</v>
      </c>
      <c r="AW4" s="396">
        <v>12</v>
      </c>
      <c r="AX4" s="395">
        <v>1</v>
      </c>
      <c r="AY4" s="395">
        <v>2</v>
      </c>
      <c r="AZ4" s="395">
        <v>3</v>
      </c>
      <c r="BA4" s="395">
        <v>4</v>
      </c>
      <c r="BB4" s="395">
        <v>5</v>
      </c>
      <c r="BC4" s="398">
        <v>6</v>
      </c>
    </row>
    <row r="5" spans="4:55" ht="18.75" thickBot="1">
      <c r="D5" s="399" t="s">
        <v>283</v>
      </c>
      <c r="E5" s="400" t="s">
        <v>284</v>
      </c>
      <c r="F5" s="401" t="s">
        <v>285</v>
      </c>
      <c r="G5" s="401" t="s">
        <v>286</v>
      </c>
      <c r="H5" s="401" t="s">
        <v>287</v>
      </c>
      <c r="I5" s="401" t="s">
        <v>288</v>
      </c>
      <c r="J5" s="401" t="s">
        <v>289</v>
      </c>
      <c r="K5" s="401" t="s">
        <v>290</v>
      </c>
      <c r="L5" s="401" t="s">
        <v>291</v>
      </c>
      <c r="M5" s="401" t="s">
        <v>292</v>
      </c>
      <c r="N5" s="401" t="s">
        <v>293</v>
      </c>
      <c r="O5" s="401" t="s">
        <v>294</v>
      </c>
      <c r="P5" s="401" t="s">
        <v>295</v>
      </c>
      <c r="Q5" s="401" t="s">
        <v>296</v>
      </c>
      <c r="R5" s="401" t="s">
        <v>297</v>
      </c>
      <c r="S5" s="401" t="s">
        <v>298</v>
      </c>
      <c r="T5" s="401" t="s">
        <v>299</v>
      </c>
      <c r="U5" s="401" t="s">
        <v>300</v>
      </c>
      <c r="V5" s="401" t="s">
        <v>301</v>
      </c>
      <c r="W5" s="401" t="s">
        <v>302</v>
      </c>
      <c r="X5" s="401" t="s">
        <v>303</v>
      </c>
      <c r="Y5" s="401" t="s">
        <v>304</v>
      </c>
      <c r="Z5" s="401" t="s">
        <v>305</v>
      </c>
      <c r="AA5" s="401" t="s">
        <v>306</v>
      </c>
      <c r="AB5" s="401" t="s">
        <v>307</v>
      </c>
      <c r="AC5" s="401" t="s">
        <v>308</v>
      </c>
      <c r="AD5" s="401" t="s">
        <v>309</v>
      </c>
      <c r="AE5" s="401" t="s">
        <v>310</v>
      </c>
      <c r="AF5" s="401" t="s">
        <v>311</v>
      </c>
      <c r="AG5" s="401" t="s">
        <v>312</v>
      </c>
      <c r="AH5" s="401" t="s">
        <v>313</v>
      </c>
      <c r="AI5" s="401" t="s">
        <v>314</v>
      </c>
      <c r="AJ5" s="401" t="s">
        <v>315</v>
      </c>
      <c r="AK5" s="401" t="s">
        <v>316</v>
      </c>
      <c r="AL5" s="401" t="s">
        <v>317</v>
      </c>
      <c r="AM5" s="401" t="s">
        <v>318</v>
      </c>
      <c r="AN5" s="401" t="s">
        <v>319</v>
      </c>
      <c r="AO5" s="401" t="s">
        <v>320</v>
      </c>
      <c r="AP5" s="401" t="s">
        <v>321</v>
      </c>
      <c r="AQ5" s="401" t="s">
        <v>322</v>
      </c>
      <c r="AR5" s="401" t="s">
        <v>323</v>
      </c>
      <c r="AS5" s="401" t="s">
        <v>324</v>
      </c>
      <c r="AT5" s="401" t="s">
        <v>325</v>
      </c>
      <c r="AU5" s="401" t="s">
        <v>326</v>
      </c>
      <c r="AV5" s="401" t="s">
        <v>327</v>
      </c>
      <c r="AW5" s="401" t="s">
        <v>328</v>
      </c>
      <c r="AX5" s="401" t="s">
        <v>329</v>
      </c>
      <c r="AY5" s="401" t="s">
        <v>330</v>
      </c>
      <c r="AZ5" s="401" t="s">
        <v>331</v>
      </c>
      <c r="BA5" s="401" t="s">
        <v>332</v>
      </c>
      <c r="BB5" s="401" t="s">
        <v>333</v>
      </c>
      <c r="BC5" s="401" t="s">
        <v>334</v>
      </c>
    </row>
    <row r="6" spans="4:55" ht="15.75">
      <c r="D6" s="402" t="s">
        <v>335</v>
      </c>
      <c r="E6" s="500">
        <v>9</v>
      </c>
      <c r="F6" s="497"/>
      <c r="G6" s="405"/>
      <c r="H6" s="405"/>
      <c r="I6" s="405"/>
      <c r="J6" s="405"/>
      <c r="K6" s="405"/>
      <c r="L6" s="405"/>
      <c r="M6" s="405"/>
      <c r="N6" s="405"/>
      <c r="O6" s="406"/>
      <c r="P6" s="407"/>
      <c r="Q6" s="407"/>
      <c r="R6" s="407"/>
      <c r="S6" s="407"/>
      <c r="T6" s="407"/>
      <c r="U6" s="407"/>
      <c r="V6" s="407"/>
      <c r="W6" s="407"/>
      <c r="X6" s="407"/>
      <c r="Y6" s="407"/>
      <c r="Z6" s="407"/>
      <c r="AA6" s="407"/>
      <c r="AB6" s="407"/>
      <c r="AC6" s="407"/>
      <c r="AD6" s="407"/>
      <c r="AE6" s="407"/>
      <c r="AF6" s="407"/>
      <c r="AG6" s="407"/>
      <c r="AH6" s="407"/>
      <c r="AI6" s="407"/>
      <c r="AJ6" s="407"/>
      <c r="AK6" s="407"/>
      <c r="AL6" s="407"/>
      <c r="AM6" s="407"/>
      <c r="AN6" s="407"/>
      <c r="AO6" s="407"/>
      <c r="AP6" s="407"/>
      <c r="AQ6" s="407"/>
      <c r="AR6" s="407"/>
      <c r="AS6" s="407"/>
      <c r="AT6" s="408"/>
      <c r="AU6" s="407"/>
      <c r="AV6" s="407"/>
      <c r="AW6" s="407"/>
      <c r="AX6" s="407"/>
      <c r="AY6" s="407"/>
      <c r="AZ6" s="407"/>
      <c r="BA6" s="407"/>
      <c r="BB6" s="407"/>
      <c r="BC6" s="409"/>
    </row>
    <row r="7" spans="4:55" ht="16.5" customHeight="1">
      <c r="D7" s="410" t="s">
        <v>336</v>
      </c>
      <c r="E7" s="501">
        <v>9</v>
      </c>
      <c r="F7" s="498"/>
      <c r="G7" s="495"/>
      <c r="H7" s="495"/>
      <c r="I7" s="495"/>
      <c r="J7" s="495"/>
      <c r="K7" s="495"/>
      <c r="L7" s="495"/>
      <c r="M7" s="495"/>
      <c r="N7" s="495"/>
      <c r="O7" s="496"/>
      <c r="P7" s="496"/>
      <c r="Q7" s="496"/>
      <c r="R7" s="496"/>
      <c r="S7" s="496"/>
      <c r="T7" s="496"/>
      <c r="U7" s="496"/>
      <c r="V7" s="496"/>
      <c r="W7" s="496"/>
      <c r="X7" s="414"/>
      <c r="Y7" s="414"/>
      <c r="Z7" s="414"/>
      <c r="AA7" s="414"/>
      <c r="AB7" s="414"/>
      <c r="AC7" s="414"/>
      <c r="AD7" s="414"/>
      <c r="AE7" s="414"/>
      <c r="AF7" s="414"/>
      <c r="AG7" s="414"/>
      <c r="AH7" s="414"/>
      <c r="AI7" s="414"/>
      <c r="AJ7" s="414"/>
      <c r="AK7" s="414"/>
      <c r="AL7" s="414"/>
      <c r="AM7" s="414"/>
      <c r="AN7" s="414"/>
      <c r="AO7" s="414"/>
      <c r="AP7" s="414"/>
      <c r="AQ7" s="414"/>
      <c r="AR7" s="414"/>
      <c r="AS7" s="414"/>
      <c r="AT7" s="415"/>
      <c r="AU7" s="414"/>
      <c r="AV7" s="414"/>
      <c r="AW7" s="414"/>
      <c r="AX7" s="414"/>
      <c r="AY7" s="414"/>
      <c r="AZ7" s="414"/>
      <c r="BA7" s="414"/>
      <c r="BB7" s="414"/>
      <c r="BC7" s="416"/>
    </row>
    <row r="8" spans="4:55" ht="15.75">
      <c r="D8" s="410" t="s">
        <v>337</v>
      </c>
      <c r="E8" s="501">
        <v>6</v>
      </c>
      <c r="F8" s="498"/>
      <c r="G8" s="495"/>
      <c r="H8" s="495"/>
      <c r="I8" s="495"/>
      <c r="J8" s="495"/>
      <c r="K8" s="495"/>
      <c r="L8" s="495"/>
      <c r="M8" s="495"/>
      <c r="N8" s="413"/>
      <c r="O8" s="418"/>
      <c r="P8" s="419"/>
      <c r="Q8" s="419"/>
      <c r="R8" s="495"/>
      <c r="S8" s="420"/>
      <c r="T8" s="421"/>
      <c r="U8" s="421"/>
      <c r="V8" s="421"/>
      <c r="W8" s="421"/>
      <c r="X8" s="421"/>
      <c r="Y8" s="422"/>
      <c r="Z8" s="422"/>
      <c r="AA8" s="422"/>
      <c r="AB8" s="422"/>
      <c r="AC8" s="422"/>
      <c r="AD8" s="422"/>
      <c r="AE8" s="422"/>
      <c r="AF8" s="422"/>
      <c r="AG8" s="422"/>
      <c r="AH8" s="422"/>
      <c r="AI8" s="422"/>
      <c r="AJ8" s="422"/>
      <c r="AK8" s="422"/>
      <c r="AL8" s="422"/>
      <c r="AM8" s="422"/>
      <c r="AN8" s="422"/>
      <c r="AO8" s="422"/>
      <c r="AP8" s="422"/>
      <c r="AQ8" s="422"/>
      <c r="AR8" s="422"/>
      <c r="AS8" s="422"/>
      <c r="AT8" s="423"/>
      <c r="AU8" s="422"/>
      <c r="AV8" s="422"/>
      <c r="AW8" s="422"/>
      <c r="AX8" s="422"/>
      <c r="AY8" s="422"/>
      <c r="AZ8" s="422"/>
      <c r="BA8" s="422"/>
      <c r="BB8" s="422"/>
      <c r="BC8" s="424"/>
    </row>
    <row r="9" spans="4:55" ht="15.75">
      <c r="D9" s="410" t="s">
        <v>338</v>
      </c>
      <c r="E9" s="501">
        <v>4</v>
      </c>
      <c r="F9" s="498"/>
      <c r="G9" s="495"/>
      <c r="H9" s="495"/>
      <c r="I9" s="495"/>
      <c r="J9" s="495"/>
      <c r="K9" s="495"/>
      <c r="L9" s="495"/>
      <c r="M9" s="495"/>
      <c r="N9" s="413"/>
      <c r="O9" s="425"/>
      <c r="P9" s="495"/>
      <c r="Q9" s="495"/>
      <c r="R9" s="495"/>
      <c r="S9" s="495"/>
      <c r="T9" s="495"/>
      <c r="U9" s="495"/>
      <c r="V9" s="495"/>
      <c r="W9" s="419"/>
      <c r="X9" s="427"/>
      <c r="Y9" s="427"/>
      <c r="Z9" s="427"/>
      <c r="AA9" s="427"/>
      <c r="AB9" s="422"/>
      <c r="AC9" s="422"/>
      <c r="AD9" s="422"/>
      <c r="AE9" s="422"/>
      <c r="AF9" s="422"/>
      <c r="AG9" s="422"/>
      <c r="AH9" s="422"/>
      <c r="AI9" s="422"/>
      <c r="AJ9" s="422"/>
      <c r="AK9" s="422"/>
      <c r="AL9" s="422"/>
      <c r="AM9" s="422"/>
      <c r="AN9" s="422"/>
      <c r="AO9" s="422"/>
      <c r="AP9" s="422"/>
      <c r="AQ9" s="422"/>
      <c r="AR9" s="422"/>
      <c r="AS9" s="422"/>
      <c r="AT9" s="423"/>
      <c r="AU9" s="422"/>
      <c r="AV9" s="422"/>
      <c r="AW9" s="422"/>
      <c r="AX9" s="422"/>
      <c r="AY9" s="422"/>
      <c r="AZ9" s="422"/>
      <c r="BA9" s="422"/>
      <c r="BB9" s="422"/>
      <c r="BC9" s="424"/>
    </row>
    <row r="10" spans="4:55" ht="16.5" thickBot="1">
      <c r="D10" s="428" t="s">
        <v>339</v>
      </c>
      <c r="E10" s="502">
        <v>19</v>
      </c>
      <c r="F10" s="499"/>
      <c r="G10" s="431"/>
      <c r="H10" s="431"/>
      <c r="I10" s="431"/>
      <c r="J10" s="431"/>
      <c r="K10" s="431"/>
      <c r="L10" s="431"/>
      <c r="M10" s="431"/>
      <c r="N10" s="432"/>
      <c r="O10" s="433"/>
      <c r="P10" s="431"/>
      <c r="Q10" s="431"/>
      <c r="R10" s="431"/>
      <c r="S10" s="434"/>
      <c r="T10" s="434"/>
      <c r="U10" s="434"/>
      <c r="V10" s="434"/>
      <c r="W10" s="431"/>
      <c r="X10" s="431"/>
      <c r="Y10" s="431"/>
      <c r="Z10" s="435"/>
      <c r="AA10" s="435"/>
      <c r="AB10" s="437"/>
      <c r="AC10" s="437"/>
      <c r="AD10" s="437"/>
      <c r="AE10" s="437"/>
      <c r="AF10" s="437"/>
      <c r="AG10" s="437"/>
      <c r="AH10" s="437"/>
      <c r="AI10" s="437"/>
      <c r="AJ10" s="437"/>
      <c r="AK10" s="437"/>
      <c r="AL10" s="437"/>
      <c r="AM10" s="437"/>
      <c r="AN10" s="437"/>
      <c r="AO10" s="437"/>
      <c r="AP10" s="437"/>
      <c r="AQ10" s="437"/>
      <c r="AR10" s="437"/>
      <c r="AS10" s="437"/>
      <c r="AT10" s="438"/>
      <c r="AU10" s="439"/>
      <c r="AV10" s="439"/>
      <c r="AW10" s="439"/>
      <c r="AX10" s="439"/>
      <c r="AY10" s="439"/>
      <c r="AZ10" s="439"/>
      <c r="BA10" s="439"/>
      <c r="BB10" s="439"/>
      <c r="BC10" s="440"/>
    </row>
    <row r="11" spans="4:55" ht="16.5" thickBot="1">
      <c r="D11" s="441"/>
      <c r="E11" s="442"/>
      <c r="S11" s="443"/>
    </row>
    <row r="12" spans="4:55" ht="16.5" thickBot="1">
      <c r="D12" s="445" t="s">
        <v>340</v>
      </c>
      <c r="E12" s="446">
        <v>41</v>
      </c>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8"/>
      <c r="AU12" s="449"/>
      <c r="AV12" s="449"/>
      <c r="AW12" s="449"/>
      <c r="AX12" s="449"/>
      <c r="AY12" s="449"/>
      <c r="AZ12" s="449"/>
      <c r="BA12" s="449"/>
      <c r="BB12" s="449"/>
      <c r="BC12" s="450"/>
    </row>
    <row r="15" spans="4:55" ht="18.75" thickBot="1">
      <c r="D15" s="399" t="s">
        <v>341</v>
      </c>
      <c r="E15" s="400" t="s">
        <v>284</v>
      </c>
      <c r="F15" s="451" t="s">
        <v>285</v>
      </c>
      <c r="G15" s="451" t="s">
        <v>286</v>
      </c>
      <c r="H15" s="451" t="s">
        <v>287</v>
      </c>
      <c r="I15" s="451" t="s">
        <v>288</v>
      </c>
      <c r="J15" s="451" t="s">
        <v>289</v>
      </c>
      <c r="K15" s="451" t="s">
        <v>290</v>
      </c>
      <c r="L15" s="451" t="s">
        <v>291</v>
      </c>
      <c r="M15" s="451" t="s">
        <v>292</v>
      </c>
      <c r="N15" s="451" t="s">
        <v>293</v>
      </c>
      <c r="O15" s="451" t="s">
        <v>294</v>
      </c>
      <c r="P15" s="451" t="s">
        <v>295</v>
      </c>
      <c r="Q15" s="451" t="s">
        <v>296</v>
      </c>
      <c r="R15" s="451" t="s">
        <v>297</v>
      </c>
      <c r="S15" s="451" t="s">
        <v>298</v>
      </c>
      <c r="T15" s="451" t="s">
        <v>299</v>
      </c>
      <c r="U15" s="451" t="s">
        <v>300</v>
      </c>
      <c r="V15" s="451" t="s">
        <v>301</v>
      </c>
      <c r="W15" s="451" t="s">
        <v>302</v>
      </c>
      <c r="X15" s="451" t="s">
        <v>303</v>
      </c>
      <c r="Y15" s="451" t="s">
        <v>304</v>
      </c>
      <c r="Z15" s="451" t="s">
        <v>305</v>
      </c>
      <c r="AA15" s="451" t="s">
        <v>306</v>
      </c>
      <c r="AB15" s="451" t="s">
        <v>307</v>
      </c>
      <c r="AC15" s="451" t="s">
        <v>308</v>
      </c>
      <c r="AD15" s="451" t="s">
        <v>309</v>
      </c>
      <c r="AE15" s="451" t="s">
        <v>310</v>
      </c>
      <c r="AF15" s="451" t="s">
        <v>311</v>
      </c>
      <c r="AG15" s="451" t="s">
        <v>312</v>
      </c>
      <c r="AH15" s="451" t="s">
        <v>313</v>
      </c>
      <c r="AI15" s="451" t="s">
        <v>314</v>
      </c>
      <c r="AJ15" s="451" t="s">
        <v>315</v>
      </c>
      <c r="AK15" s="451" t="s">
        <v>316</v>
      </c>
      <c r="AL15" s="451" t="s">
        <v>317</v>
      </c>
      <c r="AM15" s="451" t="s">
        <v>318</v>
      </c>
      <c r="AN15" s="451" t="s">
        <v>319</v>
      </c>
      <c r="AO15" s="451" t="s">
        <v>320</v>
      </c>
      <c r="AP15" s="451" t="s">
        <v>321</v>
      </c>
      <c r="AQ15" s="451" t="s">
        <v>322</v>
      </c>
      <c r="AR15" s="451" t="s">
        <v>323</v>
      </c>
      <c r="AS15" s="451" t="s">
        <v>324</v>
      </c>
      <c r="AT15" s="451" t="s">
        <v>325</v>
      </c>
      <c r="AU15" s="451" t="s">
        <v>326</v>
      </c>
      <c r="AV15" s="451" t="s">
        <v>327</v>
      </c>
      <c r="AW15" s="451" t="s">
        <v>328</v>
      </c>
      <c r="AX15" s="451" t="s">
        <v>329</v>
      </c>
      <c r="AY15" s="451" t="s">
        <v>330</v>
      </c>
      <c r="AZ15" s="452" t="s">
        <v>331</v>
      </c>
      <c r="BA15" s="451" t="s">
        <v>332</v>
      </c>
      <c r="BB15" s="451" t="s">
        <v>333</v>
      </c>
      <c r="BC15" s="451" t="s">
        <v>334</v>
      </c>
    </row>
    <row r="16" spans="4:55" ht="15.75">
      <c r="D16" s="402" t="s">
        <v>335</v>
      </c>
      <c r="E16" s="403">
        <v>9</v>
      </c>
      <c r="F16" s="404"/>
      <c r="G16" s="405"/>
      <c r="H16" s="405"/>
      <c r="I16" s="405"/>
      <c r="J16" s="405"/>
      <c r="K16" s="405"/>
      <c r="L16" s="405"/>
      <c r="M16" s="405"/>
      <c r="N16" s="405"/>
      <c r="O16" s="406"/>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c r="AW16" s="407"/>
      <c r="AX16" s="407"/>
      <c r="AY16" s="407"/>
      <c r="AZ16" s="408"/>
      <c r="BA16" s="407"/>
      <c r="BB16" s="407"/>
      <c r="BC16" s="407"/>
    </row>
    <row r="17" spans="4:55" ht="15.75">
      <c r="D17" s="410" t="s">
        <v>336</v>
      </c>
      <c r="E17" s="411">
        <v>9</v>
      </c>
      <c r="F17" s="412"/>
      <c r="N17" s="413"/>
      <c r="O17" s="496"/>
      <c r="P17" s="496"/>
      <c r="Q17" s="496"/>
      <c r="R17" s="496"/>
      <c r="S17" s="496"/>
      <c r="T17" s="496"/>
      <c r="U17" s="496"/>
      <c r="V17" s="496"/>
      <c r="W17" s="496"/>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c r="AW17" s="414"/>
      <c r="AX17" s="414"/>
      <c r="AY17" s="414"/>
      <c r="AZ17" s="415"/>
      <c r="BA17" s="414"/>
      <c r="BB17" s="414"/>
      <c r="BC17" s="414"/>
    </row>
    <row r="18" spans="4:55" ht="15.75">
      <c r="D18" s="410" t="s">
        <v>337</v>
      </c>
      <c r="E18" s="417">
        <v>6</v>
      </c>
      <c r="F18" s="412"/>
      <c r="N18" s="413"/>
      <c r="O18" s="418"/>
      <c r="P18" s="419"/>
      <c r="Q18" s="419"/>
      <c r="S18" s="420"/>
      <c r="T18" s="421"/>
      <c r="U18" s="421"/>
      <c r="V18" s="421"/>
      <c r="W18" s="421"/>
      <c r="X18" s="421"/>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c r="AW18" s="422"/>
      <c r="AX18" s="422"/>
      <c r="AY18" s="422"/>
      <c r="AZ18" s="423"/>
      <c r="BA18" s="422"/>
      <c r="BB18" s="422"/>
      <c r="BC18" s="422"/>
    </row>
    <row r="19" spans="4:55" ht="15.75">
      <c r="D19" s="410" t="s">
        <v>338</v>
      </c>
      <c r="E19" s="417">
        <v>4</v>
      </c>
      <c r="F19" s="412"/>
      <c r="N19" s="413"/>
      <c r="O19" s="425"/>
      <c r="W19" s="413"/>
      <c r="X19" s="426"/>
      <c r="Y19" s="427"/>
      <c r="Z19" s="427"/>
      <c r="AA19" s="427"/>
      <c r="AB19" s="422"/>
      <c r="AC19" s="422"/>
      <c r="AD19" s="422"/>
      <c r="AE19" s="422"/>
      <c r="AF19" s="422"/>
      <c r="AG19" s="422"/>
      <c r="AH19" s="422"/>
      <c r="AI19" s="422"/>
      <c r="AJ19" s="422"/>
      <c r="AK19" s="422"/>
      <c r="AL19" s="422"/>
      <c r="AM19" s="422"/>
      <c r="AN19" s="422"/>
      <c r="AO19" s="422"/>
      <c r="AP19" s="422"/>
      <c r="AQ19" s="422"/>
      <c r="AR19" s="422"/>
      <c r="AS19" s="422"/>
      <c r="AT19" s="422"/>
      <c r="AU19" s="422"/>
      <c r="AV19" s="422"/>
      <c r="AW19" s="422"/>
      <c r="AX19" s="422"/>
      <c r="AY19" s="422"/>
      <c r="AZ19" s="423"/>
      <c r="BA19" s="422"/>
      <c r="BB19" s="422"/>
      <c r="BC19" s="422"/>
    </row>
    <row r="20" spans="4:55" ht="16.5" thickBot="1">
      <c r="D20" s="428" t="s">
        <v>339</v>
      </c>
      <c r="E20" s="429">
        <v>25</v>
      </c>
      <c r="F20" s="430"/>
      <c r="G20" s="431"/>
      <c r="H20" s="431"/>
      <c r="I20" s="431"/>
      <c r="J20" s="431"/>
      <c r="K20" s="431"/>
      <c r="L20" s="431"/>
      <c r="M20" s="431"/>
      <c r="N20" s="432"/>
      <c r="O20" s="433"/>
      <c r="P20" s="431"/>
      <c r="Q20" s="431"/>
      <c r="R20" s="431"/>
      <c r="S20" s="434"/>
      <c r="T20" s="434"/>
      <c r="U20" s="434"/>
      <c r="V20" s="434"/>
      <c r="W20" s="432"/>
      <c r="X20" s="431"/>
      <c r="Y20" s="435"/>
      <c r="Z20" s="435"/>
      <c r="AA20" s="453"/>
      <c r="AB20" s="436"/>
      <c r="AC20" s="437"/>
      <c r="AD20" s="437"/>
      <c r="AE20" s="437"/>
      <c r="AF20" s="437"/>
      <c r="AG20" s="437"/>
      <c r="AH20" s="437"/>
      <c r="AI20" s="437"/>
      <c r="AJ20" s="437"/>
      <c r="AK20" s="437"/>
      <c r="AL20" s="437"/>
      <c r="AM20" s="437"/>
      <c r="AN20" s="437"/>
      <c r="AO20" s="437"/>
      <c r="AP20" s="437"/>
      <c r="AQ20" s="437"/>
      <c r="AR20" s="437"/>
      <c r="AS20" s="437"/>
      <c r="AT20" s="437"/>
      <c r="AU20" s="437"/>
      <c r="AV20" s="437"/>
      <c r="AW20" s="437"/>
      <c r="AX20" s="437"/>
      <c r="AY20" s="437"/>
      <c r="AZ20" s="438"/>
      <c r="BA20" s="439"/>
      <c r="BB20" s="439"/>
      <c r="BC20" s="439"/>
    </row>
    <row r="21" spans="4:55" ht="16.5" thickBot="1">
      <c r="D21" s="441"/>
      <c r="E21" s="442"/>
      <c r="S21" s="443"/>
      <c r="AZ21" s="444"/>
    </row>
    <row r="22" spans="4:55" ht="16.5" thickBot="1">
      <c r="D22" s="445" t="s">
        <v>340</v>
      </c>
      <c r="E22" s="446">
        <v>47</v>
      </c>
      <c r="F22" s="447"/>
      <c r="G22" s="447"/>
      <c r="H22" s="447"/>
      <c r="I22" s="447"/>
      <c r="J22" s="447"/>
      <c r="K22" s="447"/>
      <c r="L22" s="447"/>
      <c r="M22" s="447"/>
      <c r="N22" s="447"/>
      <c r="O22" s="447"/>
      <c r="P22" s="447"/>
      <c r="Q22" s="447"/>
      <c r="R22" s="447"/>
      <c r="S22" s="447"/>
      <c r="T22" s="447"/>
      <c r="U22" s="447"/>
      <c r="V22" s="447"/>
      <c r="W22" s="447"/>
      <c r="X22" s="447"/>
      <c r="Y22" s="447"/>
      <c r="Z22" s="447"/>
      <c r="AA22" s="447"/>
      <c r="AB22" s="447"/>
      <c r="AC22" s="447"/>
      <c r="AD22" s="447"/>
      <c r="AE22" s="447"/>
      <c r="AF22" s="447"/>
      <c r="AG22" s="447"/>
      <c r="AH22" s="447"/>
      <c r="AI22" s="447"/>
      <c r="AJ22" s="447"/>
      <c r="AK22" s="447"/>
      <c r="AL22" s="447"/>
      <c r="AM22" s="447"/>
      <c r="AN22" s="447"/>
      <c r="AO22" s="447"/>
      <c r="AP22" s="447"/>
      <c r="AQ22" s="447"/>
      <c r="AR22" s="447"/>
      <c r="AS22" s="447"/>
      <c r="AT22" s="447"/>
      <c r="AU22" s="447"/>
      <c r="AV22" s="447"/>
      <c r="AW22" s="447"/>
      <c r="AX22" s="447"/>
      <c r="AY22" s="447"/>
      <c r="AZ22" s="448"/>
      <c r="BA22" s="449"/>
      <c r="BB22" s="449"/>
      <c r="BC22" s="454"/>
    </row>
    <row r="25" spans="4:55" ht="18.75" thickBot="1">
      <c r="D25" s="399" t="s">
        <v>342</v>
      </c>
      <c r="E25" s="400" t="s">
        <v>284</v>
      </c>
      <c r="F25" s="451" t="s">
        <v>285</v>
      </c>
      <c r="G25" s="451" t="s">
        <v>286</v>
      </c>
      <c r="H25" s="451" t="s">
        <v>287</v>
      </c>
      <c r="I25" s="451" t="s">
        <v>288</v>
      </c>
      <c r="J25" s="451" t="s">
        <v>289</v>
      </c>
      <c r="K25" s="451" t="s">
        <v>290</v>
      </c>
      <c r="L25" s="451" t="s">
        <v>291</v>
      </c>
      <c r="M25" s="451" t="s">
        <v>292</v>
      </c>
      <c r="N25" s="451" t="s">
        <v>293</v>
      </c>
      <c r="O25" s="451" t="s">
        <v>294</v>
      </c>
      <c r="P25" s="451" t="s">
        <v>295</v>
      </c>
      <c r="Q25" s="451" t="s">
        <v>296</v>
      </c>
      <c r="R25" s="451" t="s">
        <v>297</v>
      </c>
      <c r="S25" s="451" t="s">
        <v>298</v>
      </c>
      <c r="T25" s="451" t="s">
        <v>299</v>
      </c>
      <c r="U25" s="451" t="s">
        <v>300</v>
      </c>
      <c r="V25" s="451" t="s">
        <v>301</v>
      </c>
      <c r="W25" s="451" t="s">
        <v>302</v>
      </c>
      <c r="X25" s="451" t="s">
        <v>303</v>
      </c>
      <c r="Y25" s="451" t="s">
        <v>304</v>
      </c>
      <c r="Z25" s="451" t="s">
        <v>305</v>
      </c>
      <c r="AA25" s="451" t="s">
        <v>306</v>
      </c>
      <c r="AB25" s="451" t="s">
        <v>307</v>
      </c>
      <c r="AC25" s="451" t="s">
        <v>308</v>
      </c>
      <c r="AD25" s="451" t="s">
        <v>309</v>
      </c>
      <c r="AE25" s="451" t="s">
        <v>310</v>
      </c>
      <c r="AF25" s="451" t="s">
        <v>311</v>
      </c>
      <c r="AG25" s="451" t="s">
        <v>312</v>
      </c>
      <c r="AH25" s="451" t="s">
        <v>313</v>
      </c>
      <c r="AI25" s="451" t="s">
        <v>314</v>
      </c>
      <c r="AJ25" s="451" t="s">
        <v>315</v>
      </c>
      <c r="AK25" s="451" t="s">
        <v>316</v>
      </c>
      <c r="AL25" s="451" t="s">
        <v>317</v>
      </c>
      <c r="AM25" s="451" t="s">
        <v>318</v>
      </c>
      <c r="AN25" s="451" t="s">
        <v>319</v>
      </c>
      <c r="AO25" s="451" t="s">
        <v>320</v>
      </c>
      <c r="AP25" s="451" t="s">
        <v>321</v>
      </c>
      <c r="AQ25" s="451" t="s">
        <v>322</v>
      </c>
      <c r="AR25" s="451" t="s">
        <v>323</v>
      </c>
      <c r="AS25" s="451" t="s">
        <v>324</v>
      </c>
      <c r="AT25" s="451" t="s">
        <v>325</v>
      </c>
      <c r="AU25" s="451" t="s">
        <v>326</v>
      </c>
      <c r="AV25" s="451" t="s">
        <v>327</v>
      </c>
      <c r="AW25" s="451" t="s">
        <v>328</v>
      </c>
      <c r="AX25" s="452" t="s">
        <v>329</v>
      </c>
      <c r="AY25" s="451" t="s">
        <v>330</v>
      </c>
      <c r="AZ25" s="451" t="s">
        <v>331</v>
      </c>
      <c r="BA25" s="451" t="s">
        <v>332</v>
      </c>
      <c r="BB25" s="451" t="s">
        <v>333</v>
      </c>
      <c r="BC25" s="451" t="s">
        <v>334</v>
      </c>
    </row>
    <row r="26" spans="4:55" ht="15.75">
      <c r="D26" s="402" t="s">
        <v>335</v>
      </c>
      <c r="E26" s="403">
        <v>9</v>
      </c>
      <c r="F26" s="405"/>
      <c r="G26" s="405"/>
      <c r="H26" s="405"/>
      <c r="I26" s="405"/>
      <c r="J26" s="405"/>
      <c r="K26" s="405"/>
      <c r="L26" s="405"/>
      <c r="M26" s="405"/>
      <c r="N26" s="405"/>
      <c r="O26" s="406"/>
      <c r="P26" s="407"/>
      <c r="Q26" s="407"/>
      <c r="R26" s="407"/>
      <c r="S26" s="407"/>
      <c r="T26" s="407"/>
      <c r="U26" s="407"/>
      <c r="V26" s="407"/>
      <c r="W26" s="407"/>
      <c r="X26" s="407"/>
      <c r="Y26" s="407"/>
      <c r="Z26" s="407"/>
      <c r="AA26" s="407"/>
      <c r="AB26" s="407"/>
      <c r="AC26" s="407"/>
      <c r="AD26" s="407"/>
      <c r="AE26" s="407"/>
      <c r="AF26" s="407"/>
      <c r="AG26" s="407"/>
      <c r="AH26" s="407"/>
      <c r="AI26" s="407"/>
      <c r="AJ26" s="407"/>
      <c r="AK26" s="407"/>
      <c r="AL26" s="407"/>
      <c r="AM26" s="407"/>
      <c r="AN26" s="407"/>
      <c r="AO26" s="407"/>
      <c r="AP26" s="407"/>
      <c r="AQ26" s="407"/>
      <c r="AR26" s="407"/>
      <c r="AS26" s="407"/>
      <c r="AT26" s="407"/>
      <c r="AU26" s="407"/>
      <c r="AV26" s="407"/>
      <c r="AW26" s="407"/>
      <c r="AX26" s="408"/>
      <c r="AY26" s="407"/>
      <c r="AZ26" s="407"/>
      <c r="BA26" s="407"/>
      <c r="BB26" s="407"/>
      <c r="BC26" s="409"/>
    </row>
    <row r="27" spans="4:55" ht="15.75">
      <c r="D27" s="410" t="s">
        <v>336</v>
      </c>
      <c r="E27" s="411">
        <v>9</v>
      </c>
      <c r="F27" s="412"/>
      <c r="N27" s="413"/>
      <c r="O27" s="496"/>
      <c r="P27" s="496"/>
      <c r="Q27" s="496"/>
      <c r="R27" s="496"/>
      <c r="S27" s="496"/>
      <c r="T27" s="496"/>
      <c r="U27" s="496"/>
      <c r="V27" s="496"/>
      <c r="W27" s="496"/>
      <c r="X27" s="414"/>
      <c r="Y27" s="414"/>
      <c r="Z27" s="414"/>
      <c r="AA27" s="414"/>
      <c r="AB27" s="414"/>
      <c r="AC27" s="414"/>
      <c r="AD27" s="414"/>
      <c r="AE27" s="414"/>
      <c r="AF27" s="414"/>
      <c r="AG27" s="414"/>
      <c r="AH27" s="414"/>
      <c r="AI27" s="414"/>
      <c r="AJ27" s="414"/>
      <c r="AK27" s="414"/>
      <c r="AL27" s="414"/>
      <c r="AM27" s="414"/>
      <c r="AN27" s="414"/>
      <c r="AO27" s="414"/>
      <c r="AP27" s="414"/>
      <c r="AQ27" s="414"/>
      <c r="AR27" s="414"/>
      <c r="AS27" s="414"/>
      <c r="AT27" s="414"/>
      <c r="AU27" s="414"/>
      <c r="AV27" s="414"/>
      <c r="AW27" s="414"/>
      <c r="AX27" s="415"/>
      <c r="AY27" s="414"/>
      <c r="AZ27" s="414"/>
      <c r="BA27" s="414"/>
      <c r="BB27" s="414"/>
      <c r="BC27" s="416"/>
    </row>
    <row r="28" spans="4:55" ht="15.75">
      <c r="D28" s="410" t="s">
        <v>337</v>
      </c>
      <c r="E28" s="417">
        <v>6</v>
      </c>
      <c r="F28" s="412"/>
      <c r="N28" s="413"/>
      <c r="O28" s="418"/>
      <c r="P28" s="419"/>
      <c r="Q28" s="419"/>
      <c r="S28" s="420"/>
      <c r="T28" s="421"/>
      <c r="U28" s="421"/>
      <c r="V28" s="421"/>
      <c r="W28" s="421"/>
      <c r="X28" s="421"/>
      <c r="Y28" s="422"/>
      <c r="Z28" s="422"/>
      <c r="AA28" s="422"/>
      <c r="AB28" s="422"/>
      <c r="AC28" s="422"/>
      <c r="AD28" s="422"/>
      <c r="AE28" s="422"/>
      <c r="AF28" s="422"/>
      <c r="AG28" s="422"/>
      <c r="AH28" s="422"/>
      <c r="AI28" s="422"/>
      <c r="AJ28" s="422"/>
      <c r="AK28" s="422"/>
      <c r="AL28" s="422"/>
      <c r="AM28" s="422"/>
      <c r="AN28" s="422"/>
      <c r="AO28" s="422"/>
      <c r="AP28" s="422"/>
      <c r="AQ28" s="422"/>
      <c r="AR28" s="422"/>
      <c r="AS28" s="422"/>
      <c r="AT28" s="422"/>
      <c r="AU28" s="422"/>
      <c r="AV28" s="422"/>
      <c r="AW28" s="422"/>
      <c r="AX28" s="423"/>
      <c r="AY28" s="422"/>
      <c r="AZ28" s="422"/>
      <c r="BA28" s="422"/>
      <c r="BB28" s="422"/>
      <c r="BC28" s="424"/>
    </row>
    <row r="29" spans="4:55" ht="15.75">
      <c r="D29" s="410" t="s">
        <v>338</v>
      </c>
      <c r="E29" s="417">
        <v>4</v>
      </c>
      <c r="F29" s="412"/>
      <c r="N29" s="413"/>
      <c r="O29" s="425"/>
      <c r="W29" s="413"/>
      <c r="X29" s="426"/>
      <c r="Y29" s="427"/>
      <c r="Z29" s="427"/>
      <c r="AA29" s="427"/>
      <c r="AB29" s="422"/>
      <c r="AC29" s="422"/>
      <c r="AD29" s="422"/>
      <c r="AE29" s="422"/>
      <c r="AF29" s="422"/>
      <c r="AG29" s="422"/>
      <c r="AH29" s="422"/>
      <c r="AI29" s="422"/>
      <c r="AJ29" s="422"/>
      <c r="AK29" s="422"/>
      <c r="AL29" s="422"/>
      <c r="AM29" s="422"/>
      <c r="AN29" s="422"/>
      <c r="AO29" s="422"/>
      <c r="AP29" s="422"/>
      <c r="AQ29" s="422"/>
      <c r="AR29" s="422"/>
      <c r="AS29" s="422"/>
      <c r="AT29" s="422"/>
      <c r="AU29" s="422"/>
      <c r="AV29" s="422"/>
      <c r="AW29" s="422"/>
      <c r="AX29" s="423"/>
      <c r="AY29" s="422"/>
      <c r="AZ29" s="422"/>
      <c r="BA29" s="422"/>
      <c r="BB29" s="422"/>
      <c r="BC29" s="424"/>
    </row>
    <row r="30" spans="4:55" ht="16.5" thickBot="1">
      <c r="D30" s="428" t="s">
        <v>339</v>
      </c>
      <c r="E30" s="429">
        <v>23</v>
      </c>
      <c r="F30" s="430"/>
      <c r="G30" s="431"/>
      <c r="H30" s="431"/>
      <c r="I30" s="431"/>
      <c r="J30" s="431"/>
      <c r="K30" s="431"/>
      <c r="L30" s="431"/>
      <c r="M30" s="431"/>
      <c r="N30" s="432"/>
      <c r="O30" s="433"/>
      <c r="P30" s="431"/>
      <c r="Q30" s="431"/>
      <c r="R30" s="431"/>
      <c r="S30" s="434"/>
      <c r="T30" s="434"/>
      <c r="U30" s="434"/>
      <c r="V30" s="434"/>
      <c r="W30" s="432"/>
      <c r="X30" s="431"/>
      <c r="Y30" s="431"/>
      <c r="Z30" s="435"/>
      <c r="AA30" s="435"/>
      <c r="AB30" s="436"/>
      <c r="AC30" s="437"/>
      <c r="AD30" s="437"/>
      <c r="AE30" s="437"/>
      <c r="AF30" s="437"/>
      <c r="AG30" s="437"/>
      <c r="AH30" s="437"/>
      <c r="AI30" s="437"/>
      <c r="AJ30" s="437"/>
      <c r="AK30" s="437"/>
      <c r="AL30" s="437"/>
      <c r="AM30" s="437"/>
      <c r="AN30" s="437"/>
      <c r="AO30" s="437"/>
      <c r="AP30" s="437"/>
      <c r="AQ30" s="437"/>
      <c r="AR30" s="437"/>
      <c r="AS30" s="437"/>
      <c r="AT30" s="437"/>
      <c r="AU30" s="437"/>
      <c r="AV30" s="437"/>
      <c r="AW30" s="437"/>
      <c r="AX30" s="438"/>
      <c r="AY30" s="439"/>
      <c r="AZ30" s="439"/>
      <c r="BA30" s="439"/>
      <c r="BB30" s="439"/>
      <c r="BC30" s="440"/>
    </row>
    <row r="31" spans="4:55" ht="16.5" thickBot="1">
      <c r="D31" s="441"/>
      <c r="E31" s="442"/>
      <c r="S31" s="443"/>
      <c r="AX31" s="444"/>
    </row>
    <row r="32" spans="4:55" ht="16.5" thickBot="1">
      <c r="D32" s="445" t="s">
        <v>340</v>
      </c>
      <c r="E32" s="446">
        <v>45</v>
      </c>
      <c r="F32" s="447"/>
      <c r="G32" s="447"/>
      <c r="H32" s="447"/>
      <c r="I32" s="447"/>
      <c r="J32" s="447"/>
      <c r="K32" s="447"/>
      <c r="L32" s="447"/>
      <c r="M32" s="447"/>
      <c r="N32" s="447"/>
      <c r="O32" s="447"/>
      <c r="P32" s="447"/>
      <c r="Q32" s="447"/>
      <c r="R32" s="447"/>
      <c r="S32" s="447"/>
      <c r="T32" s="447"/>
      <c r="U32" s="447"/>
      <c r="V32" s="447"/>
      <c r="W32" s="447"/>
      <c r="X32" s="447"/>
      <c r="Y32" s="447"/>
      <c r="Z32" s="447"/>
      <c r="AA32" s="447"/>
      <c r="AB32" s="447"/>
      <c r="AC32" s="447"/>
      <c r="AD32" s="447"/>
      <c r="AE32" s="447"/>
      <c r="AF32" s="447"/>
      <c r="AG32" s="447"/>
      <c r="AH32" s="447"/>
      <c r="AI32" s="447"/>
      <c r="AJ32" s="447"/>
      <c r="AK32" s="447"/>
      <c r="AL32" s="447"/>
      <c r="AM32" s="447"/>
      <c r="AN32" s="447"/>
      <c r="AO32" s="447"/>
      <c r="AP32" s="447"/>
      <c r="AQ32" s="447"/>
      <c r="AR32" s="447"/>
      <c r="AS32" s="447"/>
      <c r="AT32" s="447"/>
      <c r="AU32" s="447"/>
      <c r="AV32" s="447"/>
      <c r="AW32" s="447"/>
      <c r="AX32" s="448"/>
      <c r="AY32" s="449"/>
      <c r="AZ32" s="449"/>
      <c r="BA32" s="449"/>
      <c r="BB32" s="449"/>
      <c r="BC32" s="450"/>
    </row>
  </sheetData>
  <mergeCells count="5">
    <mergeCell ref="F3:M3"/>
    <mergeCell ref="Z3:AK3"/>
    <mergeCell ref="AL3:AW3"/>
    <mergeCell ref="AX3:BC3"/>
    <mergeCell ref="N3:Y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2"/>
  <sheetViews>
    <sheetView showGridLines="0" topLeftCell="A7" zoomScale="120" zoomScaleNormal="120" zoomScaleSheetLayoutView="112" workbookViewId="0">
      <selection activeCell="B18" sqref="B18:E18"/>
    </sheetView>
  </sheetViews>
  <sheetFormatPr baseColWidth="10" defaultRowHeight="15"/>
  <cols>
    <col min="1" max="1" width="2" customWidth="1"/>
    <col min="2" max="2" width="45.140625" customWidth="1"/>
    <col min="3" max="3" width="20.85546875" customWidth="1"/>
    <col min="4" max="4" width="19" customWidth="1"/>
    <col min="5" max="5" width="20.7109375" customWidth="1"/>
    <col min="6" max="6" width="1.85546875" customWidth="1"/>
    <col min="7" max="7" width="0" hidden="1" customWidth="1"/>
    <col min="8" max="8" width="1.28515625" customWidth="1"/>
  </cols>
  <sheetData>
    <row r="1" spans="2:8" ht="15.75" thickBot="1"/>
    <row r="2" spans="2:8" ht="44.45" customHeight="1" thickBot="1">
      <c r="B2" s="478" t="s">
        <v>348</v>
      </c>
      <c r="C2" s="477" t="s">
        <v>347</v>
      </c>
      <c r="D2" s="476" t="s">
        <v>346</v>
      </c>
      <c r="E2" s="475" t="s">
        <v>345</v>
      </c>
    </row>
    <row r="3" spans="2:8" s="5" customFormat="1" ht="21" customHeight="1" thickBot="1">
      <c r="B3" s="517"/>
      <c r="C3" s="518"/>
      <c r="D3" s="518"/>
      <c r="E3" s="518"/>
      <c r="F3" s="460"/>
    </row>
    <row r="4" spans="2:8" ht="15.75">
      <c r="B4" s="467" t="s">
        <v>351</v>
      </c>
      <c r="C4" s="466">
        <v>657</v>
      </c>
      <c r="D4" s="466">
        <v>1.4</v>
      </c>
      <c r="E4" s="466">
        <v>919.8</v>
      </c>
    </row>
    <row r="5" spans="2:8" ht="15.75" thickBot="1">
      <c r="B5" s="465" t="s">
        <v>352</v>
      </c>
      <c r="C5" s="464">
        <v>142</v>
      </c>
      <c r="D5" s="468"/>
      <c r="E5" s="468"/>
    </row>
    <row r="6" spans="2:8" ht="15.75" thickBot="1">
      <c r="B6" s="474" t="s">
        <v>353</v>
      </c>
      <c r="C6" s="473">
        <v>515</v>
      </c>
      <c r="D6" s="468"/>
      <c r="E6" s="468"/>
    </row>
    <row r="7" spans="2:8" s="5" customFormat="1" ht="21" customHeight="1" thickBot="1">
      <c r="B7" s="517"/>
      <c r="C7" s="518"/>
      <c r="D7" s="518"/>
      <c r="E7" s="518"/>
      <c r="F7" s="460"/>
      <c r="G7"/>
      <c r="H7"/>
    </row>
    <row r="8" spans="2:8" ht="16.5" thickBot="1">
      <c r="B8" s="472" t="s">
        <v>354</v>
      </c>
      <c r="C8" s="471">
        <v>657</v>
      </c>
      <c r="D8" s="466">
        <v>1.3</v>
      </c>
      <c r="E8" s="466">
        <v>854.1</v>
      </c>
    </row>
    <row r="9" spans="2:8">
      <c r="B9" s="470" t="s">
        <v>355</v>
      </c>
      <c r="C9" s="469">
        <v>304</v>
      </c>
      <c r="D9" s="463"/>
      <c r="E9" s="463"/>
    </row>
    <row r="10" spans="2:8">
      <c r="B10" s="465" t="s">
        <v>356</v>
      </c>
      <c r="C10" s="464">
        <v>258</v>
      </c>
      <c r="D10" s="463"/>
      <c r="E10" s="463"/>
    </row>
    <row r="11" spans="2:8">
      <c r="B11" s="465" t="s">
        <v>357</v>
      </c>
      <c r="C11" s="464">
        <v>65</v>
      </c>
      <c r="D11" s="463"/>
      <c r="E11" s="463"/>
    </row>
    <row r="12" spans="2:8">
      <c r="B12" s="465" t="s">
        <v>358</v>
      </c>
      <c r="C12" s="464">
        <v>30</v>
      </c>
      <c r="D12" s="463"/>
      <c r="E12" s="463"/>
    </row>
    <row r="13" spans="2:8" s="5" customFormat="1" ht="21" customHeight="1" thickBot="1">
      <c r="B13" s="517"/>
      <c r="C13" s="518"/>
      <c r="D13" s="518"/>
      <c r="E13" s="518"/>
      <c r="F13" s="460"/>
      <c r="G13"/>
      <c r="H13"/>
    </row>
    <row r="14" spans="2:8" ht="15.75">
      <c r="B14" s="467" t="s">
        <v>359</v>
      </c>
      <c r="C14" s="466">
        <v>150</v>
      </c>
      <c r="D14" s="466">
        <v>1.3</v>
      </c>
      <c r="E14" s="466">
        <v>195</v>
      </c>
    </row>
    <row r="15" spans="2:8">
      <c r="B15" s="465" t="s">
        <v>360</v>
      </c>
      <c r="C15" s="464">
        <v>35</v>
      </c>
      <c r="D15" s="463"/>
      <c r="E15" s="463"/>
    </row>
    <row r="16" spans="2:8">
      <c r="B16" s="465" t="s">
        <v>361</v>
      </c>
      <c r="C16" s="464">
        <v>65</v>
      </c>
      <c r="D16" s="463"/>
      <c r="E16" s="463"/>
    </row>
    <row r="17" spans="2:8">
      <c r="B17" s="465" t="s">
        <v>362</v>
      </c>
      <c r="C17" s="464">
        <v>50</v>
      </c>
      <c r="D17" s="463"/>
      <c r="E17" s="463"/>
    </row>
    <row r="18" spans="2:8" s="5" customFormat="1" ht="21" customHeight="1" thickBot="1">
      <c r="B18" s="517"/>
      <c r="C18" s="518"/>
      <c r="D18" s="518"/>
      <c r="E18" s="518"/>
      <c r="F18" s="460"/>
      <c r="G18"/>
      <c r="H18"/>
    </row>
    <row r="19" spans="2:8" ht="15.75">
      <c r="B19" s="467" t="s">
        <v>363</v>
      </c>
      <c r="C19" s="466">
        <v>294</v>
      </c>
      <c r="D19" s="466">
        <v>1.3</v>
      </c>
      <c r="E19" s="466">
        <v>382.2</v>
      </c>
    </row>
    <row r="20" spans="2:8">
      <c r="B20" s="465" t="s">
        <v>364</v>
      </c>
      <c r="C20" s="464">
        <v>174</v>
      </c>
      <c r="D20" s="463"/>
      <c r="E20" s="463"/>
    </row>
    <row r="21" spans="2:8">
      <c r="B21" s="465" t="s">
        <v>365</v>
      </c>
      <c r="C21" s="464">
        <v>85</v>
      </c>
      <c r="D21" s="463"/>
      <c r="E21" s="463"/>
    </row>
    <row r="22" spans="2:8">
      <c r="B22" s="465" t="s">
        <v>366</v>
      </c>
      <c r="C22" s="464">
        <v>35</v>
      </c>
      <c r="D22" s="463"/>
      <c r="E22" s="463"/>
    </row>
    <row r="23" spans="2:8" s="5" customFormat="1" ht="21" customHeight="1" thickBot="1">
      <c r="B23" s="517"/>
      <c r="C23" s="518"/>
      <c r="D23" s="518"/>
      <c r="E23" s="518"/>
      <c r="F23" s="460"/>
      <c r="G23"/>
      <c r="H23"/>
    </row>
    <row r="24" spans="2:8" ht="15.75">
      <c r="B24" s="467" t="s">
        <v>367</v>
      </c>
      <c r="C24" s="466">
        <v>295</v>
      </c>
      <c r="D24" s="466">
        <v>1.3</v>
      </c>
      <c r="E24" s="466">
        <v>383.5</v>
      </c>
    </row>
    <row r="25" spans="2:8">
      <c r="B25" s="465" t="s">
        <v>368</v>
      </c>
      <c r="C25" s="464">
        <v>130</v>
      </c>
      <c r="D25" s="463"/>
      <c r="E25" s="463"/>
    </row>
    <row r="26" spans="2:8">
      <c r="B26" s="465" t="s">
        <v>369</v>
      </c>
      <c r="C26" s="464">
        <v>165</v>
      </c>
      <c r="D26" s="463"/>
      <c r="E26" s="463"/>
    </row>
    <row r="27" spans="2:8" s="5" customFormat="1" ht="21" customHeight="1" thickBot="1">
      <c r="B27" s="517"/>
      <c r="C27" s="518"/>
      <c r="D27" s="518"/>
      <c r="E27" s="518"/>
      <c r="F27" s="460"/>
    </row>
    <row r="28" spans="2:8" s="5" customFormat="1" ht="21" customHeight="1" thickBot="1">
      <c r="B28" s="467" t="s">
        <v>370</v>
      </c>
      <c r="C28" s="466">
        <v>719</v>
      </c>
      <c r="D28" s="466">
        <v>1.2</v>
      </c>
      <c r="E28" s="466">
        <v>862.8</v>
      </c>
      <c r="F28" s="460"/>
      <c r="G28" s="494">
        <f>E4+E8+E14+E19+E24+E28</f>
        <v>3597.3999999999996</v>
      </c>
    </row>
    <row r="29" spans="2:8" s="5" customFormat="1" ht="21" customHeight="1">
      <c r="B29" s="465" t="s">
        <v>371</v>
      </c>
      <c r="C29" s="464">
        <v>137</v>
      </c>
      <c r="D29" s="463"/>
      <c r="E29" s="463"/>
      <c r="F29" s="460"/>
    </row>
    <row r="30" spans="2:8" s="5" customFormat="1" ht="21" customHeight="1">
      <c r="B30" s="465" t="s">
        <v>372</v>
      </c>
      <c r="C30" s="464">
        <v>30</v>
      </c>
      <c r="D30" s="463"/>
      <c r="E30" s="463"/>
      <c r="F30" s="460"/>
    </row>
    <row r="31" spans="2:8" s="5" customFormat="1" ht="21" customHeight="1">
      <c r="B31" s="465" t="s">
        <v>373</v>
      </c>
      <c r="C31" s="464">
        <v>270</v>
      </c>
      <c r="D31" s="463"/>
      <c r="E31" s="463"/>
      <c r="F31" s="460"/>
    </row>
    <row r="32" spans="2:8" s="5" customFormat="1" ht="21" customHeight="1" thickBot="1">
      <c r="B32" s="465" t="s">
        <v>374</v>
      </c>
      <c r="C32" s="464">
        <v>282</v>
      </c>
      <c r="D32" s="468"/>
      <c r="E32" s="468"/>
      <c r="F32" s="460"/>
    </row>
    <row r="33" spans="2:7" s="5" customFormat="1" ht="21" customHeight="1" thickBot="1">
      <c r="B33" s="462"/>
      <c r="C33" s="461"/>
      <c r="D33" s="461"/>
      <c r="E33" s="461"/>
      <c r="F33" s="460"/>
    </row>
    <row r="34" spans="2:7" ht="16.5" thickBot="1">
      <c r="B34" s="467" t="s">
        <v>375</v>
      </c>
      <c r="C34" s="466">
        <v>428</v>
      </c>
      <c r="D34" s="466">
        <v>1.5</v>
      </c>
      <c r="E34" s="466">
        <v>642</v>
      </c>
      <c r="G34" s="492">
        <f>E34+C39</f>
        <v>856</v>
      </c>
    </row>
    <row r="35" spans="2:7">
      <c r="B35" s="465" t="s">
        <v>376</v>
      </c>
      <c r="C35" s="464">
        <v>428</v>
      </c>
      <c r="D35" s="463"/>
      <c r="E35" s="463"/>
    </row>
    <row r="36" spans="2:7" ht="15.75" thickBot="1"/>
    <row r="37" spans="2:7" ht="15.75">
      <c r="B37" s="467" t="s">
        <v>377</v>
      </c>
      <c r="C37" s="466">
        <v>297.15999999999997</v>
      </c>
      <c r="D37" s="466">
        <v>1</v>
      </c>
      <c r="E37" s="466">
        <v>297.15999999999997</v>
      </c>
    </row>
    <row r="38" spans="2:7">
      <c r="B38" s="465" t="s">
        <v>378</v>
      </c>
      <c r="C38" s="464">
        <v>83.16</v>
      </c>
      <c r="D38" s="463"/>
      <c r="E38" s="463"/>
    </row>
    <row r="39" spans="2:7">
      <c r="B39" s="465" t="s">
        <v>379</v>
      </c>
      <c r="C39" s="464">
        <v>214</v>
      </c>
      <c r="D39" s="463"/>
      <c r="E39" s="463"/>
    </row>
    <row r="40" spans="2:7" s="5" customFormat="1" ht="21" customHeight="1" thickBot="1">
      <c r="B40" s="462"/>
      <c r="C40" s="461"/>
      <c r="D40" s="461"/>
      <c r="E40" s="461"/>
      <c r="F40" s="460"/>
    </row>
    <row r="41" spans="2:7" ht="15.75" thickBot="1">
      <c r="B41" s="459" t="s">
        <v>344</v>
      </c>
      <c r="C41" s="457">
        <v>3497.16</v>
      </c>
      <c r="D41" s="458">
        <v>1.2972125953630946</v>
      </c>
      <c r="E41" s="457">
        <v>4536.5599999999995</v>
      </c>
    </row>
    <row r="42" spans="2:7" ht="15.75" thickBot="1">
      <c r="C42" s="515" t="s">
        <v>343</v>
      </c>
      <c r="D42" s="516"/>
      <c r="E42" s="456">
        <v>4763.387999999999</v>
      </c>
      <c r="F42" s="455"/>
      <c r="G42" s="493">
        <f>-E41+E42</f>
        <v>226.82799999999952</v>
      </c>
    </row>
  </sheetData>
  <mergeCells count="7">
    <mergeCell ref="C42:D42"/>
    <mergeCell ref="B3:E3"/>
    <mergeCell ref="B7:E7"/>
    <mergeCell ref="B13:E13"/>
    <mergeCell ref="B18:E18"/>
    <mergeCell ref="B23:E23"/>
    <mergeCell ref="B27:E27"/>
  </mergeCells>
  <pageMargins left="0.7" right="0.7" top="0.75" bottom="0.75" header="0.3" footer="0.3"/>
  <pageSetup paperSize="9" scale="58" orientation="portrait" r:id="rId1"/>
  <headerFooter>
    <oddHeader>&amp;L&amp;"Arial,Normal"&amp;K000000&amp;D&amp;R&amp;"Arial,Normal"&amp;K000000AMIRATO FRANCE SAS</oddHeader>
    <oddFooter>&amp;L&amp;"Arial,Normal"&amp;K000000CHINA - Projet Oncopole - Tableaux de surfaces&amp;R&amp;"Arial,Normal"&amp;K000000&amp;P/&amp;N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5"/>
  <sheetViews>
    <sheetView showGridLines="0" zoomScale="130" zoomScaleNormal="130" zoomScaleSheetLayoutView="112" workbookViewId="0">
      <selection activeCell="B18" sqref="B18:E18"/>
    </sheetView>
  </sheetViews>
  <sheetFormatPr baseColWidth="10" defaultRowHeight="15"/>
  <cols>
    <col min="1" max="1" width="2" customWidth="1"/>
    <col min="2" max="2" width="45.140625" customWidth="1"/>
    <col min="3" max="3" width="20.85546875" customWidth="1"/>
    <col min="4" max="4" width="19" customWidth="1"/>
    <col min="5" max="5" width="20.7109375" customWidth="1"/>
    <col min="6" max="6" width="3" customWidth="1"/>
    <col min="8" max="8" width="3" customWidth="1"/>
  </cols>
  <sheetData>
    <row r="1" spans="2:8" ht="15.75" thickBot="1"/>
    <row r="2" spans="2:8" ht="30.95" customHeight="1" thickBot="1">
      <c r="B2" s="478" t="s">
        <v>348</v>
      </c>
      <c r="C2" s="477" t="s">
        <v>347</v>
      </c>
      <c r="D2" s="476" t="s">
        <v>346</v>
      </c>
      <c r="E2" s="475" t="s">
        <v>345</v>
      </c>
    </row>
    <row r="3" spans="2:8" s="5" customFormat="1" ht="21" customHeight="1" thickBot="1">
      <c r="B3" s="517"/>
      <c r="C3" s="518"/>
      <c r="D3" s="518"/>
      <c r="E3" s="518"/>
      <c r="F3" s="460"/>
      <c r="H3" s="460"/>
    </row>
    <row r="4" spans="2:8" ht="16.5" thickBot="1">
      <c r="B4" s="467" t="s">
        <v>380</v>
      </c>
      <c r="C4" s="466">
        <v>212</v>
      </c>
      <c r="D4" s="466">
        <v>1.2</v>
      </c>
      <c r="E4" s="466">
        <v>254.39999999999998</v>
      </c>
    </row>
    <row r="5" spans="2:8">
      <c r="B5" s="470" t="s">
        <v>381</v>
      </c>
      <c r="C5" s="469">
        <v>185</v>
      </c>
      <c r="D5" s="463"/>
      <c r="E5" s="463"/>
    </row>
    <row r="6" spans="2:8" ht="15.75" thickBot="1">
      <c r="B6" s="465" t="s">
        <v>382</v>
      </c>
      <c r="C6" s="464">
        <v>27</v>
      </c>
      <c r="D6" s="468"/>
      <c r="E6" s="468"/>
    </row>
    <row r="7" spans="2:8" ht="15.75" thickBot="1">
      <c r="B7" s="474" t="s">
        <v>383</v>
      </c>
      <c r="C7" s="480" t="s">
        <v>350</v>
      </c>
      <c r="D7" s="468"/>
      <c r="E7" s="468"/>
    </row>
    <row r="8" spans="2:8" s="5" customFormat="1" ht="21" customHeight="1" thickBot="1">
      <c r="B8" s="517"/>
      <c r="C8" s="518"/>
      <c r="D8" s="518"/>
      <c r="E8" s="518"/>
      <c r="F8" s="460"/>
      <c r="G8"/>
      <c r="H8" s="460"/>
    </row>
    <row r="9" spans="2:8" ht="16.5" thickBot="1">
      <c r="B9" s="472" t="s">
        <v>384</v>
      </c>
      <c r="C9" s="471">
        <v>270</v>
      </c>
      <c r="D9" s="466">
        <v>1.2</v>
      </c>
      <c r="E9" s="466">
        <v>324</v>
      </c>
    </row>
    <row r="10" spans="2:8">
      <c r="B10" s="470" t="s">
        <v>385</v>
      </c>
      <c r="C10" s="469">
        <v>226</v>
      </c>
      <c r="D10" s="463"/>
      <c r="E10" s="463"/>
    </row>
    <row r="11" spans="2:8">
      <c r="B11" s="465" t="s">
        <v>386</v>
      </c>
      <c r="C11" s="464">
        <v>44</v>
      </c>
      <c r="D11" s="463"/>
      <c r="E11" s="463"/>
    </row>
    <row r="12" spans="2:8" s="5" customFormat="1" ht="21" customHeight="1" thickBot="1">
      <c r="B12" s="517"/>
      <c r="C12" s="518"/>
      <c r="D12" s="518"/>
      <c r="E12" s="518"/>
      <c r="F12" s="460"/>
      <c r="G12"/>
      <c r="H12" s="460"/>
    </row>
    <row r="13" spans="2:8" ht="15.75">
      <c r="B13" s="467" t="s">
        <v>387</v>
      </c>
      <c r="C13" s="466">
        <v>79</v>
      </c>
      <c r="D13" s="466">
        <v>1.2</v>
      </c>
      <c r="E13" s="466">
        <v>94.8</v>
      </c>
    </row>
    <row r="14" spans="2:8">
      <c r="B14" s="465" t="s">
        <v>360</v>
      </c>
      <c r="C14" s="464">
        <v>50</v>
      </c>
      <c r="D14" s="463"/>
      <c r="E14" s="463"/>
    </row>
    <row r="15" spans="2:8">
      <c r="B15" s="465" t="s">
        <v>361</v>
      </c>
      <c r="C15" s="464">
        <v>29</v>
      </c>
      <c r="D15" s="463"/>
      <c r="E15" s="463"/>
    </row>
    <row r="16" spans="2:8" s="5" customFormat="1" ht="21" customHeight="1" thickBot="1">
      <c r="B16" s="517"/>
      <c r="C16" s="518"/>
      <c r="D16" s="518"/>
      <c r="E16" s="518"/>
      <c r="F16" s="460"/>
      <c r="G16"/>
      <c r="H16" s="460"/>
    </row>
    <row r="17" spans="2:8" ht="15.75">
      <c r="B17" s="467" t="s">
        <v>388</v>
      </c>
      <c r="C17" s="466">
        <v>203</v>
      </c>
      <c r="D17" s="466">
        <v>1.2</v>
      </c>
      <c r="E17" s="466">
        <v>243.6</v>
      </c>
    </row>
    <row r="18" spans="2:8">
      <c r="B18" s="465" t="s">
        <v>389</v>
      </c>
      <c r="C18" s="464">
        <v>20</v>
      </c>
      <c r="D18" s="463"/>
      <c r="E18" s="463"/>
    </row>
    <row r="19" spans="2:8">
      <c r="B19" s="465" t="s">
        <v>390</v>
      </c>
      <c r="C19" s="464">
        <v>105</v>
      </c>
      <c r="D19" s="463"/>
      <c r="E19" s="463"/>
    </row>
    <row r="20" spans="2:8">
      <c r="B20" s="465" t="s">
        <v>391</v>
      </c>
      <c r="C20" s="464">
        <v>30</v>
      </c>
      <c r="D20" s="463"/>
      <c r="E20" s="463"/>
    </row>
    <row r="21" spans="2:8">
      <c r="B21" s="465" t="s">
        <v>392</v>
      </c>
      <c r="C21" s="464">
        <v>48</v>
      </c>
      <c r="D21" s="463"/>
      <c r="E21" s="463"/>
    </row>
    <row r="22" spans="2:8" s="5" customFormat="1" ht="21" customHeight="1">
      <c r="B22" s="517"/>
      <c r="C22" s="518"/>
      <c r="D22" s="518"/>
      <c r="E22" s="518"/>
      <c r="F22" s="460"/>
      <c r="G22"/>
      <c r="H22" s="460"/>
    </row>
    <row r="23" spans="2:8" s="5" customFormat="1" ht="21" customHeight="1" thickBot="1">
      <c r="B23" s="462"/>
      <c r="C23" s="461"/>
      <c r="D23" s="461"/>
      <c r="E23" s="461"/>
      <c r="F23" s="460"/>
      <c r="H23" s="460"/>
    </row>
    <row r="24" spans="2:8" ht="15.75" thickBot="1">
      <c r="B24" s="459" t="s">
        <v>344</v>
      </c>
      <c r="C24" s="479">
        <v>764</v>
      </c>
      <c r="D24" s="458">
        <v>1.2</v>
      </c>
      <c r="E24" s="457">
        <v>916.8</v>
      </c>
    </row>
    <row r="25" spans="2:8" ht="15.75" thickBot="1">
      <c r="C25" s="515" t="s">
        <v>349</v>
      </c>
      <c r="D25" s="516"/>
      <c r="E25" s="456">
        <v>1008.48</v>
      </c>
    </row>
  </sheetData>
  <mergeCells count="6">
    <mergeCell ref="C25:D25"/>
    <mergeCell ref="B3:E3"/>
    <mergeCell ref="B8:E8"/>
    <mergeCell ref="B12:E12"/>
    <mergeCell ref="B16:E16"/>
    <mergeCell ref="B22:E22"/>
  </mergeCells>
  <pageMargins left="0.7" right="0.7" top="0.75" bottom="0.75" header="0.3" footer="0.3"/>
  <pageSetup paperSize="9" scale="58" orientation="portrait" r:id="rId1"/>
  <headerFooter>
    <oddHeader>&amp;L&amp;"Arial,Normal"&amp;K000000&amp;D&amp;R&amp;"Arial,Normal"&amp;K000000AMIRATO FRANCE SAS</oddHeader>
    <oddFooter>&amp;L&amp;"Arial,Normal"&amp;K000000CHINA - Projet Oncopole - Tableaux de surfaces&amp;R&amp;"Arial,Normal"&amp;K000000&amp;P/&amp;N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showGridLines="0" zoomScale="130" zoomScaleNormal="130" zoomScaleSheetLayoutView="112" workbookViewId="0">
      <selection activeCell="B18" sqref="B18:E18"/>
    </sheetView>
  </sheetViews>
  <sheetFormatPr baseColWidth="10" defaultRowHeight="15"/>
  <cols>
    <col min="1" max="1" width="2" customWidth="1"/>
    <col min="2" max="2" width="45.140625" customWidth="1"/>
    <col min="3" max="3" width="20.85546875" customWidth="1"/>
    <col min="4" max="4" width="19" customWidth="1"/>
    <col min="5" max="5" width="20.7109375" customWidth="1"/>
    <col min="6" max="6" width="3" customWidth="1"/>
    <col min="8" max="8" width="3" customWidth="1"/>
  </cols>
  <sheetData>
    <row r="1" spans="2:8" ht="15.75" thickBot="1"/>
    <row r="2" spans="2:8" ht="30.95" customHeight="1" thickBot="1">
      <c r="B2" s="478" t="s">
        <v>348</v>
      </c>
      <c r="C2" s="477" t="s">
        <v>347</v>
      </c>
      <c r="D2" s="476" t="s">
        <v>346</v>
      </c>
      <c r="E2" s="475" t="s">
        <v>345</v>
      </c>
    </row>
    <row r="3" spans="2:8" s="5" customFormat="1" ht="21" customHeight="1" thickBot="1">
      <c r="B3" s="517"/>
      <c r="C3" s="518"/>
      <c r="D3" s="518"/>
      <c r="E3" s="518"/>
      <c r="F3" s="460"/>
      <c r="H3" s="460"/>
    </row>
    <row r="4" spans="2:8" ht="16.5" thickBot="1">
      <c r="B4" s="467" t="s">
        <v>393</v>
      </c>
      <c r="C4" s="489">
        <v>345</v>
      </c>
      <c r="D4" s="466">
        <v>1.2</v>
      </c>
      <c r="E4" s="489">
        <v>414</v>
      </c>
    </row>
    <row r="5" spans="2:8">
      <c r="B5" s="488" t="s">
        <v>394</v>
      </c>
      <c r="C5" s="487">
        <v>0</v>
      </c>
      <c r="D5" s="463"/>
      <c r="E5" s="463"/>
    </row>
    <row r="6" spans="2:8">
      <c r="B6" s="486" t="s">
        <v>395</v>
      </c>
      <c r="C6" s="485">
        <v>0</v>
      </c>
      <c r="D6" s="484"/>
      <c r="E6" s="484"/>
    </row>
    <row r="7" spans="2:8">
      <c r="B7" s="486" t="s">
        <v>396</v>
      </c>
      <c r="C7" s="485">
        <v>80</v>
      </c>
      <c r="D7" s="484"/>
      <c r="E7" s="484"/>
    </row>
    <row r="8" spans="2:8">
      <c r="B8" s="486" t="s">
        <v>397</v>
      </c>
      <c r="C8" s="485">
        <v>0</v>
      </c>
      <c r="D8" s="484"/>
      <c r="E8" s="484"/>
    </row>
    <row r="9" spans="2:8">
      <c r="B9" s="486" t="s">
        <v>398</v>
      </c>
      <c r="C9" s="485">
        <v>175</v>
      </c>
      <c r="D9" s="484"/>
      <c r="E9" s="484"/>
    </row>
    <row r="10" spans="2:8">
      <c r="B10" s="486" t="s">
        <v>399</v>
      </c>
      <c r="C10" s="485">
        <v>90</v>
      </c>
      <c r="D10" s="484"/>
      <c r="E10" s="484"/>
    </row>
    <row r="11" spans="2:8" ht="15.75" thickBot="1">
      <c r="B11" s="483" t="s">
        <v>400</v>
      </c>
      <c r="C11" s="482">
        <v>0</v>
      </c>
      <c r="D11" s="468"/>
      <c r="E11" s="468"/>
    </row>
    <row r="12" spans="2:8" s="5" customFormat="1" ht="21" customHeight="1" thickBot="1">
      <c r="B12" s="517"/>
      <c r="C12" s="518"/>
      <c r="D12" s="518"/>
      <c r="E12" s="518"/>
      <c r="F12" s="460"/>
      <c r="G12"/>
      <c r="H12" s="460"/>
    </row>
    <row r="13" spans="2:8" ht="15.75" thickBot="1">
      <c r="B13" s="459" t="s">
        <v>344</v>
      </c>
      <c r="C13" s="481">
        <v>345</v>
      </c>
      <c r="D13" s="458">
        <v>1.2</v>
      </c>
      <c r="E13" s="457">
        <v>414</v>
      </c>
    </row>
    <row r="14" spans="2:8" ht="15.75" thickBot="1">
      <c r="C14" s="515" t="s">
        <v>349</v>
      </c>
      <c r="D14" s="516"/>
      <c r="E14" s="456">
        <v>455.4</v>
      </c>
    </row>
  </sheetData>
  <mergeCells count="3">
    <mergeCell ref="B3:E3"/>
    <mergeCell ref="B12:E12"/>
    <mergeCell ref="C14:D14"/>
  </mergeCells>
  <pageMargins left="0.7" right="0.7" top="0.75" bottom="0.75" header="0.3" footer="0.3"/>
  <pageSetup paperSize="9" scale="58" orientation="portrait" r:id="rId1"/>
  <headerFooter>
    <oddHeader>&amp;L&amp;"Arial,Normal"&amp;K000000&amp;D&amp;R&amp;"Arial,Normal"&amp;K000000AMIRATO FRANCE SAS</oddHeader>
    <oddFooter>&amp;L&amp;"Arial,Normal"&amp;K000000CHINA - Projet Oncopole - Tableaux de surfaces&amp;R&amp;"Arial,Normal"&amp;K000000&amp;P/&amp;N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9"/>
  <sheetViews>
    <sheetView showGridLines="0" zoomScale="130" zoomScaleNormal="130" zoomScaleSheetLayoutView="112" workbookViewId="0">
      <selection activeCell="B18" sqref="B18:E18"/>
    </sheetView>
  </sheetViews>
  <sheetFormatPr baseColWidth="10" defaultRowHeight="15"/>
  <cols>
    <col min="1" max="1" width="2" customWidth="1"/>
    <col min="2" max="2" width="45.140625" customWidth="1"/>
    <col min="3" max="3" width="20.85546875" customWidth="1"/>
    <col min="4" max="4" width="19" customWidth="1"/>
    <col min="5" max="5" width="20.7109375" customWidth="1"/>
    <col min="6" max="6" width="3" customWidth="1"/>
    <col min="8" max="8" width="3" customWidth="1"/>
  </cols>
  <sheetData>
    <row r="1" spans="2:8" ht="15.75" thickBot="1"/>
    <row r="2" spans="2:8" ht="30.95" customHeight="1" thickBot="1">
      <c r="B2" s="478" t="s">
        <v>348</v>
      </c>
      <c r="C2" s="477" t="s">
        <v>347</v>
      </c>
      <c r="D2" s="476" t="s">
        <v>346</v>
      </c>
      <c r="E2" s="475" t="s">
        <v>345</v>
      </c>
    </row>
    <row r="3" spans="2:8" s="5" customFormat="1" ht="21" customHeight="1" thickBot="1">
      <c r="B3" s="517"/>
      <c r="C3" s="518"/>
      <c r="D3" s="518"/>
      <c r="E3" s="518"/>
      <c r="F3" s="460"/>
      <c r="H3" s="460"/>
    </row>
    <row r="4" spans="2:8" ht="16.5" thickBot="1">
      <c r="B4" s="467" t="s">
        <v>401</v>
      </c>
      <c r="C4" s="489">
        <v>534</v>
      </c>
      <c r="D4" s="466">
        <v>1.3</v>
      </c>
      <c r="E4" s="489">
        <v>694.2</v>
      </c>
    </row>
    <row r="5" spans="2:8">
      <c r="B5" s="491" t="s">
        <v>402</v>
      </c>
      <c r="C5" s="487">
        <v>263</v>
      </c>
      <c r="D5" s="463"/>
      <c r="E5" s="463"/>
    </row>
    <row r="6" spans="2:8">
      <c r="B6" s="486" t="s">
        <v>403</v>
      </c>
      <c r="C6" s="485">
        <v>271</v>
      </c>
      <c r="D6" s="484"/>
      <c r="E6" s="484"/>
    </row>
    <row r="7" spans="2:8" s="5" customFormat="1" ht="21" customHeight="1" thickBot="1">
      <c r="B7" s="517"/>
      <c r="C7" s="518"/>
      <c r="D7" s="518"/>
      <c r="E7" s="518"/>
      <c r="F7" s="460"/>
      <c r="G7"/>
      <c r="H7" s="460"/>
    </row>
    <row r="8" spans="2:8" ht="15.75" thickBot="1">
      <c r="B8" s="459" t="s">
        <v>344</v>
      </c>
      <c r="C8" s="481">
        <v>534</v>
      </c>
      <c r="D8" s="458">
        <v>1.3</v>
      </c>
      <c r="E8" s="457">
        <v>694.2</v>
      </c>
    </row>
    <row r="9" spans="2:8" ht="15.75" thickBot="1">
      <c r="C9" s="515" t="s">
        <v>349</v>
      </c>
      <c r="D9" s="516"/>
      <c r="E9" s="490">
        <v>749.7360000000001</v>
      </c>
    </row>
  </sheetData>
  <mergeCells count="3">
    <mergeCell ref="B3:E3"/>
    <mergeCell ref="B7:E7"/>
    <mergeCell ref="C9:D9"/>
  </mergeCells>
  <pageMargins left="0.7" right="0.7" top="0.75" bottom="0.75" header="0.3" footer="0.3"/>
  <pageSetup paperSize="9" scale="58" orientation="portrait" r:id="rId1"/>
  <headerFooter>
    <oddHeader>&amp;L&amp;"Arial,Normal"&amp;K000000&amp;D&amp;R&amp;"Arial,Normal"&amp;K000000AMIRATO FRANCE SAS</oddHeader>
    <oddFooter>&amp;L&amp;"Arial,Normal"&amp;K000000CHINA - Projet Oncopole - Tableaux de surfaces&amp;R&amp;"Arial,Normal"&amp;K000000&amp;P/&amp;N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381D29ECFD22347B454475FE73AED8A" ma:contentTypeVersion="2" ma:contentTypeDescription="Create a new document." ma:contentTypeScope="" ma:versionID="0ffbf91b3cf9df20feac199d0aa35769">
  <xsd:schema xmlns:xsd="http://www.w3.org/2001/XMLSchema" xmlns:xs="http://www.w3.org/2001/XMLSchema" xmlns:p="http://schemas.microsoft.com/office/2006/metadata/properties" xmlns:ns3="f0a40fae-6b64-4abb-8dbc-33871a6a5ced" targetNamespace="http://schemas.microsoft.com/office/2006/metadata/properties" ma:root="true" ma:fieldsID="3c5a61eb05903f02f7e7a2f980ce6371" ns3:_="">
    <xsd:import namespace="f0a40fae-6b64-4abb-8dbc-33871a6a5ced"/>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a40fae-6b64-4abb-8dbc-33871a6a5c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8482F2-E579-42A6-B918-4B326607605E}">
  <ds:schemaRefs>
    <ds:schemaRef ds:uri="http://schemas.microsoft.com/sharepoint/v3/contenttype/forms"/>
  </ds:schemaRefs>
</ds:datastoreItem>
</file>

<file path=customXml/itemProps2.xml><?xml version="1.0" encoding="utf-8"?>
<ds:datastoreItem xmlns:ds="http://schemas.openxmlformats.org/officeDocument/2006/customXml" ds:itemID="{61DCC318-4CBF-4247-BF80-4176BC2E851C}">
  <ds:schemaRefs>
    <ds:schemaRef ds:uri="f0a40fae-6b64-4abb-8dbc-33871a6a5ced"/>
    <ds:schemaRef ds:uri="http://schemas.microsoft.com/office/2006/documentManagement/types"/>
    <ds:schemaRef ds:uri="http://schemas.microsoft.com/office/2006/metadata/properties"/>
    <ds:schemaRef ds:uri="http://schemas.microsoft.com/office/infopath/2007/PartnerControls"/>
    <ds:schemaRef ds:uri="http://purl.org/dc/dcmitype/"/>
    <ds:schemaRef ds:uri="http://purl.org/dc/terms/"/>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973ABB44-4E7B-4227-862A-91C8DADED6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a40fae-6b64-4abb-8dbc-33871a6a5c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9</vt:i4>
      </vt:variant>
    </vt:vector>
  </HeadingPairs>
  <TitlesOfParts>
    <vt:vector size="24" baseType="lpstr">
      <vt:lpstr>definition budget</vt:lpstr>
      <vt:lpstr>DATA</vt:lpstr>
      <vt:lpstr>ENFANTS</vt:lpstr>
      <vt:lpstr>MS + 20LITS</vt:lpstr>
      <vt:lpstr>PLANNING SC4</vt:lpstr>
      <vt:lpstr>SYNTHESE SURFACE CRFME</vt:lpstr>
      <vt:lpstr>SYNTHESE SURFACE MS</vt:lpstr>
      <vt:lpstr>SYNTHESE SURFACE HDJ</vt:lpstr>
      <vt:lpstr>SYNTHESE SURFACE EXT HC</vt:lpstr>
      <vt:lpstr>MS + 20LITS (2)</vt:lpstr>
      <vt:lpstr>RADIOTHERAPIE</vt:lpstr>
      <vt:lpstr>Estimatif -  Post-COPIL</vt:lpstr>
      <vt:lpstr>Estimatif -  Hypothése haute</vt:lpstr>
      <vt:lpstr>Estimatif - Hypothé intermédia</vt:lpstr>
      <vt:lpstr>Hypothèse conforme CCTP</vt:lpstr>
      <vt:lpstr>'definition budget'!Zone_d_impression</vt:lpstr>
      <vt:lpstr>ENFANTS!Zone_d_impression</vt:lpstr>
      <vt:lpstr>'Estimatif -  Post-COPIL'!Zone_d_impression</vt:lpstr>
      <vt:lpstr>'MS + 20LITS'!Zone_d_impression</vt:lpstr>
      <vt:lpstr>'MS + 20LITS (2)'!Zone_d_impression</vt:lpstr>
      <vt:lpstr>'SYNTHESE SURFACE CRFME'!Zone_d_impression</vt:lpstr>
      <vt:lpstr>'SYNTHESE SURFACE EXT HC'!Zone_d_impression</vt:lpstr>
      <vt:lpstr>'SYNTHESE SURFACE HDJ'!Zone_d_impression</vt:lpstr>
      <vt:lpstr>'SYNTHESE SURFACE MS'!Zone_d_impression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Emilie Thouillez</dc:creator>
  <cp:lastModifiedBy>BOCKHORNI LOIS (UGECAM NORD-EST)</cp:lastModifiedBy>
  <cp:lastPrinted>2023-05-05T13:40:57Z</cp:lastPrinted>
  <dcterms:created xsi:type="dcterms:W3CDTF">2022-12-15T15:09:52Z</dcterms:created>
  <dcterms:modified xsi:type="dcterms:W3CDTF">2026-02-23T14:24:57Z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0x0101006381D29ECFD22347B454475FE73AED8A</vt:lpwstr>
  </property>
</Properties>
</file>